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J:\Internationales\04_Afrika\_P_Kafa_BMZ_DI1012\03_Projektkomponenten\WP5 Regional Products\05_handbook agriculture\03_reports\"/>
    </mc:Choice>
  </mc:AlternateContent>
  <bookViews>
    <workbookView xWindow="-105" yWindow="-105" windowWidth="23250" windowHeight="12570" firstSheet="10" activeTab="12"/>
  </bookViews>
  <sheets>
    <sheet name="1. Contents" sheetId="6" r:id="rId1"/>
    <sheet name="2. Crop yield conv. vs organic " sheetId="2" r:id="rId2"/>
    <sheet name="3. Crop seed demand" sheetId="4" r:id="rId3"/>
    <sheet name="4. Economy alley crops" sheetId="9" r:id="rId4"/>
    <sheet name="5. Planting scheme" sheetId="24" r:id="rId5"/>
    <sheet name="6. Forage balance" sheetId="22" r:id="rId6"/>
    <sheet name="7. Animal spacing &amp; feeding" sheetId="1" r:id="rId7"/>
    <sheet name="8. Animal food &amp; water needs" sheetId="3" r:id="rId8"/>
    <sheet name="9. Dairy feed ration calculator" sheetId="5" r:id="rId9"/>
    <sheet name="10. Dung supply &amp; crop demand" sheetId="10" r:id="rId10"/>
    <sheet name="11. Dung nutrient contents" sheetId="16" r:id="rId11"/>
    <sheet name="12. Nutrient balances" sheetId="20" r:id="rId12"/>
    <sheet name="13. Food &amp; energy consumption" sheetId="8" r:id="rId13"/>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0" i="8" l="1"/>
  <c r="E72" i="20"/>
  <c r="H72" i="20"/>
  <c r="H41" i="22"/>
  <c r="H42" i="22"/>
  <c r="H35" i="22"/>
  <c r="D103" i="16" l="1"/>
  <c r="D102" i="16"/>
  <c r="E10" i="16"/>
  <c r="E11" i="16"/>
  <c r="E12" i="16"/>
  <c r="E13" i="16"/>
  <c r="E14" i="16"/>
  <c r="E15" i="16"/>
  <c r="E16" i="16"/>
  <c r="E17" i="16"/>
  <c r="E18" i="16"/>
  <c r="E19" i="16"/>
  <c r="E9" i="16"/>
  <c r="D62" i="10"/>
  <c r="D9" i="5"/>
  <c r="G34" i="3"/>
  <c r="G35" i="3"/>
  <c r="G36" i="3"/>
  <c r="G37" i="3"/>
  <c r="G38" i="3"/>
  <c r="G39" i="3"/>
  <c r="G40" i="3"/>
  <c r="G41" i="3"/>
  <c r="G42" i="3"/>
  <c r="G43" i="3"/>
  <c r="G44" i="3"/>
  <c r="G33" i="3"/>
  <c r="F34" i="3"/>
  <c r="F35" i="3"/>
  <c r="F36" i="3"/>
  <c r="F37" i="3"/>
  <c r="F38" i="3"/>
  <c r="F39" i="3"/>
  <c r="F40" i="3"/>
  <c r="F41" i="3"/>
  <c r="F42" i="3"/>
  <c r="F43" i="3"/>
  <c r="F44" i="3"/>
  <c r="F33" i="3"/>
  <c r="F11" i="3"/>
  <c r="F12" i="3"/>
  <c r="F13" i="3"/>
  <c r="F14" i="3"/>
  <c r="F15" i="3"/>
  <c r="F16" i="3"/>
  <c r="F17" i="3"/>
  <c r="F18" i="3"/>
  <c r="F19" i="3"/>
  <c r="F20" i="3"/>
  <c r="F21" i="3"/>
  <c r="F22" i="3"/>
  <c r="F23" i="3"/>
  <c r="F24" i="3"/>
  <c r="F25" i="3"/>
  <c r="F10" i="3"/>
  <c r="D42" i="22"/>
  <c r="J14" i="9"/>
  <c r="J18" i="9"/>
  <c r="G12" i="16" l="1"/>
  <c r="F12" i="16"/>
  <c r="J9" i="9" l="1"/>
  <c r="I19" i="16" l="1"/>
  <c r="F19" i="16"/>
  <c r="J18" i="16"/>
  <c r="I18" i="16"/>
  <c r="G18" i="16"/>
  <c r="F18" i="16"/>
  <c r="I17" i="16"/>
  <c r="F17" i="16"/>
  <c r="I16" i="16"/>
  <c r="F16" i="16"/>
  <c r="J14" i="16"/>
  <c r="I14" i="16"/>
  <c r="G14" i="16"/>
  <c r="F14" i="16"/>
  <c r="J13" i="16"/>
  <c r="I13" i="16"/>
  <c r="G13" i="16"/>
  <c r="F13" i="16"/>
  <c r="J11" i="16"/>
  <c r="J12" i="16" s="1"/>
  <c r="I11" i="16"/>
  <c r="I12" i="16" s="1"/>
  <c r="G11" i="16"/>
  <c r="F11" i="16"/>
  <c r="J10" i="16"/>
  <c r="I10" i="16"/>
  <c r="K10" i="16" l="1"/>
  <c r="K11" i="16"/>
  <c r="K12" i="16"/>
  <c r="K13" i="16"/>
  <c r="K14" i="16"/>
  <c r="K15" i="16"/>
  <c r="K16" i="16"/>
  <c r="K17" i="16"/>
  <c r="K18" i="16"/>
  <c r="K19" i="16"/>
  <c r="H11" i="16"/>
  <c r="G10" i="16"/>
  <c r="F10" i="16"/>
  <c r="H12" i="16"/>
  <c r="H13" i="16"/>
  <c r="H14" i="16"/>
  <c r="H15" i="16"/>
  <c r="H16" i="16"/>
  <c r="H17" i="16"/>
  <c r="H18" i="16"/>
  <c r="H19" i="16"/>
  <c r="J9" i="16"/>
  <c r="G9" i="16"/>
  <c r="I9" i="16"/>
  <c r="F9" i="16"/>
  <c r="F108" i="16"/>
  <c r="F110" i="16" s="1"/>
  <c r="E108" i="16"/>
  <c r="E110" i="16" s="1"/>
  <c r="D108" i="16"/>
  <c r="D110" i="16" s="1"/>
  <c r="C108" i="16"/>
  <c r="D101" i="16"/>
  <c r="K9" i="16" l="1"/>
  <c r="H9" i="16"/>
  <c r="H10" i="16"/>
  <c r="H36" i="22"/>
  <c r="H37" i="22"/>
  <c r="H38" i="22"/>
  <c r="H39" i="22"/>
  <c r="H40" i="22"/>
  <c r="E42" i="22"/>
  <c r="E45" i="22"/>
  <c r="H45" i="22" s="1"/>
  <c r="E46" i="22"/>
  <c r="H46" i="22" s="1"/>
  <c r="E47" i="22"/>
  <c r="H47" i="22" s="1"/>
  <c r="E48" i="22"/>
  <c r="H48" i="22" s="1"/>
  <c r="E49" i="22"/>
  <c r="H49" i="22" s="1"/>
  <c r="E50" i="22"/>
  <c r="H50" i="22" s="1"/>
  <c r="E51" i="22"/>
  <c r="H51" i="22" s="1"/>
  <c r="E52" i="22"/>
  <c r="H52" i="22" s="1"/>
  <c r="H53" i="22" l="1"/>
  <c r="H54" i="22" l="1"/>
  <c r="D90" i="20" l="1"/>
  <c r="C17" i="5"/>
  <c r="H62" i="24" l="1"/>
  <c r="U58" i="24"/>
  <c r="D53" i="24"/>
  <c r="S40" i="24"/>
  <c r="Q40" i="24"/>
  <c r="O40" i="24"/>
  <c r="M40" i="24"/>
  <c r="K40" i="24"/>
  <c r="I40" i="24"/>
  <c r="G40" i="24"/>
  <c r="H39" i="24"/>
  <c r="P39" i="24" s="1"/>
  <c r="E39" i="24" s="1"/>
  <c r="C10" i="24" s="1"/>
  <c r="E38" i="24"/>
  <c r="C9" i="24" s="1"/>
  <c r="E9" i="24" s="1"/>
  <c r="E37" i="24"/>
  <c r="E36" i="24"/>
  <c r="C7" i="24" s="1"/>
  <c r="E35" i="24"/>
  <c r="C6" i="24" s="1"/>
  <c r="E34" i="24"/>
  <c r="E42" i="24" s="1"/>
  <c r="D47" i="24" s="1"/>
  <c r="T33" i="24"/>
  <c r="E33" i="24"/>
  <c r="T17" i="24"/>
  <c r="B7" i="24" s="1"/>
  <c r="E12" i="24"/>
  <c r="C8" i="24"/>
  <c r="E8" i="24" s="1"/>
  <c r="E40" i="24" l="1"/>
  <c r="C11" i="24" s="1"/>
  <c r="C5" i="24"/>
  <c r="E5" i="24" s="1"/>
  <c r="E6" i="24"/>
  <c r="E10" i="24"/>
  <c r="D7" i="24"/>
  <c r="E7" i="24"/>
  <c r="E11" i="24"/>
  <c r="B6" i="24"/>
  <c r="D6" i="24" s="1"/>
  <c r="B8" i="24"/>
  <c r="D8" i="24" s="1"/>
  <c r="B9" i="24"/>
  <c r="D9" i="24" s="1"/>
  <c r="B10" i="24"/>
  <c r="D10" i="24" s="1"/>
  <c r="B11" i="24"/>
  <c r="D11" i="24" s="1"/>
  <c r="B12" i="24"/>
  <c r="D12" i="24" s="1"/>
  <c r="B5" i="24"/>
  <c r="D5" i="24" l="1"/>
  <c r="F28" i="22" l="1"/>
  <c r="F27" i="22"/>
  <c r="F26" i="22"/>
  <c r="F25" i="22"/>
  <c r="F101" i="20" l="1"/>
  <c r="E101" i="20"/>
  <c r="F100" i="20"/>
  <c r="E100" i="20"/>
  <c r="C90" i="20"/>
  <c r="E90" i="20" s="1"/>
  <c r="D89" i="20"/>
  <c r="C89" i="20"/>
  <c r="K83" i="20"/>
  <c r="J83" i="20"/>
  <c r="I83" i="20"/>
  <c r="K82" i="20"/>
  <c r="J82" i="20"/>
  <c r="I82" i="20"/>
  <c r="K80" i="20"/>
  <c r="J80" i="20"/>
  <c r="I80" i="20"/>
  <c r="K79" i="20"/>
  <c r="J79" i="20"/>
  <c r="I79" i="20"/>
  <c r="K78" i="20"/>
  <c r="J78" i="20"/>
  <c r="I78" i="20"/>
  <c r="G71" i="20"/>
  <c r="J71" i="20" s="1"/>
  <c r="G70" i="20"/>
  <c r="K70" i="20" s="1"/>
  <c r="K69" i="20"/>
  <c r="J69" i="20"/>
  <c r="H69" i="20"/>
  <c r="G68" i="20"/>
  <c r="G67" i="20"/>
  <c r="K67" i="20" s="1"/>
  <c r="G66" i="20"/>
  <c r="G65" i="20"/>
  <c r="K65" i="20" s="1"/>
  <c r="G64" i="20"/>
  <c r="G63" i="20"/>
  <c r="K63" i="20" s="1"/>
  <c r="G62" i="20"/>
  <c r="G61" i="20"/>
  <c r="K61" i="20" s="1"/>
  <c r="G60" i="20"/>
  <c r="G38" i="20"/>
  <c r="D38" i="20"/>
  <c r="L37" i="20"/>
  <c r="G37" i="20"/>
  <c r="I37" i="20" s="1"/>
  <c r="F37" i="20"/>
  <c r="J36" i="20"/>
  <c r="L36" i="20" s="1"/>
  <c r="G36" i="20"/>
  <c r="I36" i="20" s="1"/>
  <c r="D36" i="20"/>
  <c r="F36" i="20" s="1"/>
  <c r="J35" i="20"/>
  <c r="L35" i="20" s="1"/>
  <c r="G35" i="20"/>
  <c r="I35" i="20" s="1"/>
  <c r="D35" i="20"/>
  <c r="F35" i="20" s="1"/>
  <c r="K34" i="20"/>
  <c r="J34" i="20" s="1"/>
  <c r="H34" i="20"/>
  <c r="G34" i="20" s="1"/>
  <c r="D34" i="20"/>
  <c r="F34" i="20" s="1"/>
  <c r="K33" i="20"/>
  <c r="J33" i="20" s="1"/>
  <c r="H33" i="20"/>
  <c r="G33" i="20" s="1"/>
  <c r="D33" i="20"/>
  <c r="F33" i="20" s="1"/>
  <c r="K32" i="20"/>
  <c r="J32" i="20" s="1"/>
  <c r="H32" i="20"/>
  <c r="G32" i="20" s="1"/>
  <c r="D32" i="20"/>
  <c r="F32" i="20" s="1"/>
  <c r="K31" i="20"/>
  <c r="J31" i="20" s="1"/>
  <c r="H31" i="20"/>
  <c r="G31" i="20" s="1"/>
  <c r="D31" i="20"/>
  <c r="K30" i="20"/>
  <c r="J30" i="20" s="1"/>
  <c r="H30" i="20"/>
  <c r="G30" i="20" s="1"/>
  <c r="D30" i="20"/>
  <c r="F30" i="20" s="1"/>
  <c r="K29" i="20"/>
  <c r="J29" i="20" s="1"/>
  <c r="H29" i="20"/>
  <c r="G29" i="20" s="1"/>
  <c r="D29" i="20"/>
  <c r="F29" i="20" s="1"/>
  <c r="K28" i="20"/>
  <c r="J28" i="20" s="1"/>
  <c r="H28" i="20"/>
  <c r="G28" i="20" s="1"/>
  <c r="D28" i="20"/>
  <c r="F28" i="20" s="1"/>
  <c r="K27" i="20"/>
  <c r="J27" i="20" s="1"/>
  <c r="H27" i="20"/>
  <c r="G27" i="20" s="1"/>
  <c r="D27" i="20"/>
  <c r="F27" i="20" s="1"/>
  <c r="K26" i="20"/>
  <c r="J26" i="20" s="1"/>
  <c r="H26" i="20"/>
  <c r="G26" i="20" s="1"/>
  <c r="D26" i="20"/>
  <c r="F26" i="20" s="1"/>
  <c r="K25" i="20"/>
  <c r="J25" i="20" s="1"/>
  <c r="H25" i="20"/>
  <c r="G25" i="20" s="1"/>
  <c r="D25" i="20"/>
  <c r="F25" i="20" s="1"/>
  <c r="K24" i="20"/>
  <c r="J24" i="20" s="1"/>
  <c r="H24" i="20"/>
  <c r="G24" i="20" s="1"/>
  <c r="F24" i="20"/>
  <c r="K23" i="20"/>
  <c r="J23" i="20" s="1"/>
  <c r="H23" i="20"/>
  <c r="G23" i="20" s="1"/>
  <c r="D23" i="20"/>
  <c r="F23" i="20" s="1"/>
  <c r="K22" i="20"/>
  <c r="J22" i="20" s="1"/>
  <c r="G22" i="20"/>
  <c r="D22" i="20"/>
  <c r="F22" i="20" s="1"/>
  <c r="K21" i="20"/>
  <c r="J21" i="20" s="1"/>
  <c r="G21" i="20"/>
  <c r="D21" i="20"/>
  <c r="F21" i="20" s="1"/>
  <c r="K20" i="20"/>
  <c r="J20" i="20" s="1"/>
  <c r="H20" i="20"/>
  <c r="G20" i="20" s="1"/>
  <c r="D20" i="20"/>
  <c r="F20" i="20" s="1"/>
  <c r="K19" i="20"/>
  <c r="J19" i="20" s="1"/>
  <c r="H19" i="20"/>
  <c r="G19" i="20" s="1"/>
  <c r="D19" i="20"/>
  <c r="F19" i="20" s="1"/>
  <c r="K18" i="20"/>
  <c r="J18" i="20" s="1"/>
  <c r="H18" i="20"/>
  <c r="G18" i="20" s="1"/>
  <c r="D18" i="20"/>
  <c r="F18" i="20" s="1"/>
  <c r="K17" i="20"/>
  <c r="J17" i="20" s="1"/>
  <c r="H17" i="20"/>
  <c r="G17" i="20" s="1"/>
  <c r="D17" i="20"/>
  <c r="F17" i="20" s="1"/>
  <c r="K16" i="20"/>
  <c r="J16" i="20" s="1"/>
  <c r="H16" i="20"/>
  <c r="G16" i="20" s="1"/>
  <c r="D16" i="20"/>
  <c r="F16" i="20" s="1"/>
  <c r="K15" i="20"/>
  <c r="J15" i="20" s="1"/>
  <c r="H15" i="20"/>
  <c r="G15" i="20" s="1"/>
  <c r="D15" i="20"/>
  <c r="F15" i="20" s="1"/>
  <c r="K14" i="20"/>
  <c r="J14" i="20" s="1"/>
  <c r="H14" i="20"/>
  <c r="G14" i="20" s="1"/>
  <c r="D14" i="20"/>
  <c r="F14" i="20" s="1"/>
  <c r="K13" i="20"/>
  <c r="J13" i="20" s="1"/>
  <c r="H13" i="20"/>
  <c r="G13" i="20" s="1"/>
  <c r="D13" i="20"/>
  <c r="F13" i="20" s="1"/>
  <c r="K12" i="20"/>
  <c r="J12" i="20" s="1"/>
  <c r="H12" i="20"/>
  <c r="G12" i="20" s="1"/>
  <c r="D12" i="20"/>
  <c r="F12" i="20" s="1"/>
  <c r="K11" i="20"/>
  <c r="J11" i="20" s="1"/>
  <c r="H11" i="20"/>
  <c r="G11" i="20" s="1"/>
  <c r="D11" i="20"/>
  <c r="F11" i="20" s="1"/>
  <c r="K10" i="20"/>
  <c r="J10" i="20" s="1"/>
  <c r="H10" i="20"/>
  <c r="G10" i="20" s="1"/>
  <c r="D10" i="20"/>
  <c r="F10" i="20" s="1"/>
  <c r="D9" i="20"/>
  <c r="F9" i="20" s="1"/>
  <c r="H70" i="20" l="1"/>
  <c r="E89" i="20"/>
  <c r="E91" i="20" s="1"/>
  <c r="H71" i="20"/>
  <c r="H64" i="20"/>
  <c r="K71" i="20"/>
  <c r="H68" i="20"/>
  <c r="I84" i="20"/>
  <c r="J70" i="20"/>
  <c r="K84" i="20"/>
  <c r="E107" i="20" s="1"/>
  <c r="H66" i="20"/>
  <c r="J84" i="20"/>
  <c r="D107" i="20" s="1"/>
  <c r="H62" i="20"/>
  <c r="H60" i="20"/>
  <c r="J60" i="20"/>
  <c r="J62" i="20"/>
  <c r="J64" i="20"/>
  <c r="J66" i="20"/>
  <c r="J68" i="20"/>
  <c r="K60" i="20"/>
  <c r="K62" i="20"/>
  <c r="K64" i="20"/>
  <c r="K66" i="20"/>
  <c r="K68" i="20"/>
  <c r="H61" i="20"/>
  <c r="H63" i="20"/>
  <c r="H65" i="20"/>
  <c r="H67" i="20"/>
  <c r="J61" i="20"/>
  <c r="J63" i="20"/>
  <c r="J65" i="20"/>
  <c r="J67" i="20"/>
  <c r="C107" i="20" l="1"/>
  <c r="K72" i="20"/>
  <c r="E106" i="20" s="1"/>
  <c r="E108" i="20" s="1"/>
  <c r="J72" i="20"/>
  <c r="D106" i="20" s="1"/>
  <c r="D108" i="20" s="1"/>
  <c r="C106" i="20"/>
  <c r="C108" i="20" l="1"/>
  <c r="M79" i="10"/>
  <c r="G79" i="10"/>
  <c r="M78" i="10"/>
  <c r="G78" i="10"/>
  <c r="M77" i="10"/>
  <c r="M76" i="10"/>
  <c r="M75" i="10"/>
  <c r="M74" i="10"/>
  <c r="G74" i="10"/>
  <c r="M73" i="10"/>
  <c r="G73" i="10"/>
  <c r="M72" i="10"/>
  <c r="M70" i="10"/>
  <c r="I70" i="10"/>
  <c r="H70" i="10"/>
  <c r="G70" i="10"/>
  <c r="F61" i="10"/>
  <c r="F60" i="10"/>
  <c r="F59" i="10"/>
  <c r="F58" i="10"/>
  <c r="F57" i="10"/>
  <c r="F56" i="10"/>
  <c r="F55" i="10"/>
  <c r="F54" i="10"/>
  <c r="F53" i="10"/>
  <c r="F52" i="10"/>
  <c r="F47" i="10"/>
  <c r="F46" i="10"/>
  <c r="F45" i="10"/>
  <c r="F44" i="10"/>
  <c r="F43" i="10"/>
  <c r="F42" i="10"/>
  <c r="F41" i="10"/>
  <c r="F40" i="10"/>
  <c r="F39" i="10"/>
  <c r="D31" i="10"/>
  <c r="F30" i="10"/>
  <c r="F29" i="10"/>
  <c r="F28" i="10"/>
  <c r="F27" i="10"/>
  <c r="F26" i="10"/>
  <c r="F25" i="10"/>
  <c r="F24" i="10"/>
  <c r="F23" i="10"/>
  <c r="F22" i="10"/>
  <c r="F21" i="10"/>
  <c r="F20" i="10"/>
  <c r="F16" i="10"/>
  <c r="F15" i="10"/>
  <c r="F14" i="10"/>
  <c r="F13" i="10"/>
  <c r="F12" i="10"/>
  <c r="F11" i="10"/>
  <c r="F10" i="10"/>
  <c r="F9" i="10"/>
  <c r="F8" i="10"/>
  <c r="F62" i="10" l="1"/>
  <c r="F17" i="10"/>
  <c r="F31" i="10"/>
  <c r="F48" i="10"/>
  <c r="F63" i="10" s="1"/>
  <c r="I15" i="9"/>
  <c r="J15" i="9" s="1"/>
  <c r="H15" i="9"/>
  <c r="G15" i="9"/>
  <c r="F15" i="9"/>
  <c r="E15" i="9"/>
  <c r="D15" i="9"/>
  <c r="I13" i="9"/>
  <c r="H13" i="9"/>
  <c r="G13" i="9"/>
  <c r="F13" i="9"/>
  <c r="E13" i="9"/>
  <c r="D13" i="9"/>
  <c r="C13" i="9"/>
  <c r="J12" i="9"/>
  <c r="J10" i="9"/>
  <c r="F32" i="10" l="1"/>
  <c r="J13" i="9"/>
  <c r="J16" i="9" s="1"/>
  <c r="E30" i="8"/>
  <c r="F30" i="8" s="1"/>
  <c r="C31" i="8" s="1"/>
  <c r="G28" i="8"/>
  <c r="D27" i="8"/>
  <c r="C27" i="8" s="1"/>
  <c r="E26" i="8"/>
  <c r="C26" i="8"/>
  <c r="E25" i="8"/>
  <c r="F25" i="8" s="1"/>
  <c r="C25" i="8"/>
  <c r="E24" i="8"/>
  <c r="F24" i="8" s="1"/>
  <c r="C24" i="8"/>
  <c r="E23" i="8"/>
  <c r="C23" i="8"/>
  <c r="E22" i="8"/>
  <c r="F22" i="8" s="1"/>
  <c r="C22" i="8"/>
  <c r="E21" i="8"/>
  <c r="F21" i="8" s="1"/>
  <c r="C21" i="8"/>
  <c r="E20" i="8"/>
  <c r="F20" i="8" s="1"/>
  <c r="C20" i="8"/>
  <c r="E19" i="8"/>
  <c r="C19" i="8"/>
  <c r="E18" i="8"/>
  <c r="F18" i="8" s="1"/>
  <c r="C18" i="8"/>
  <c r="E17" i="8"/>
  <c r="F17" i="8" s="1"/>
  <c r="C17" i="8"/>
  <c r="E16" i="8"/>
  <c r="C16" i="8"/>
  <c r="E15" i="8"/>
  <c r="F15" i="8" s="1"/>
  <c r="C15" i="8"/>
  <c r="E14" i="8"/>
  <c r="F14" i="8" s="1"/>
  <c r="C14" i="8"/>
  <c r="E13" i="8"/>
  <c r="F13" i="8" s="1"/>
  <c r="C13" i="8"/>
  <c r="E12" i="8"/>
  <c r="F12" i="8" s="1"/>
  <c r="C12" i="8"/>
  <c r="E11" i="8"/>
  <c r="F11" i="8" s="1"/>
  <c r="C11" i="8"/>
  <c r="E10" i="8"/>
  <c r="F10" i="8" s="1"/>
  <c r="C10" i="8"/>
  <c r="E9" i="8"/>
  <c r="F9" i="8" s="1"/>
  <c r="C9" i="8"/>
  <c r="E8" i="8"/>
  <c r="F8" i="8" s="1"/>
  <c r="C8" i="8"/>
  <c r="E7" i="8"/>
  <c r="C7" i="8"/>
  <c r="C28" i="8" l="1"/>
  <c r="E27" i="8"/>
  <c r="E28" i="8" s="1"/>
  <c r="D28" i="8"/>
  <c r="F7" i="8"/>
  <c r="F28" i="8" s="1"/>
  <c r="C52" i="5" l="1"/>
  <c r="H52" i="5" s="1"/>
  <c r="I52" i="5" s="1"/>
  <c r="C51" i="5"/>
  <c r="G51" i="5" s="1"/>
  <c r="C50" i="5"/>
  <c r="H50" i="5" s="1"/>
  <c r="I50" i="5" s="1"/>
  <c r="C49" i="5"/>
  <c r="C35" i="5"/>
  <c r="E35" i="5" s="1"/>
  <c r="C34" i="5"/>
  <c r="D34" i="5" s="1"/>
  <c r="C33" i="5"/>
  <c r="F33" i="5" s="1"/>
  <c r="C32" i="5"/>
  <c r="C18" i="5"/>
  <c r="H18" i="5" s="1"/>
  <c r="I18" i="5" s="1"/>
  <c r="G17" i="5"/>
  <c r="C16" i="5"/>
  <c r="F16" i="5" s="1"/>
  <c r="C15" i="5"/>
  <c r="E15" i="5" s="1"/>
  <c r="E7" i="5"/>
  <c r="F34" i="5" l="1"/>
  <c r="C53" i="5"/>
  <c r="G34" i="5"/>
  <c r="H49" i="5"/>
  <c r="I49" i="5" s="1"/>
  <c r="E34" i="5"/>
  <c r="F35" i="5"/>
  <c r="H17" i="5"/>
  <c r="I17" i="5" s="1"/>
  <c r="G16" i="5"/>
  <c r="D33" i="5"/>
  <c r="H33" i="5"/>
  <c r="I33" i="5" s="1"/>
  <c r="G35" i="5"/>
  <c r="G33" i="5"/>
  <c r="F15" i="5"/>
  <c r="G15" i="5"/>
  <c r="H16" i="5"/>
  <c r="I16" i="5" s="1"/>
  <c r="C19" i="5"/>
  <c r="E33" i="5"/>
  <c r="H34" i="5"/>
  <c r="I34" i="5" s="1"/>
  <c r="H35" i="5"/>
  <c r="I35" i="5" s="1"/>
  <c r="H15" i="5"/>
  <c r="I15" i="5" s="1"/>
  <c r="C36" i="5"/>
  <c r="E32" i="5"/>
  <c r="E36" i="5" s="1"/>
  <c r="D51" i="5"/>
  <c r="D18" i="5"/>
  <c r="F32" i="5"/>
  <c r="E51" i="5"/>
  <c r="F52" i="5"/>
  <c r="D49" i="5"/>
  <c r="F51" i="5"/>
  <c r="G52" i="5"/>
  <c r="D16" i="5"/>
  <c r="H32" i="5"/>
  <c r="E49" i="5"/>
  <c r="D15" i="5"/>
  <c r="E16" i="5"/>
  <c r="F17" i="5"/>
  <c r="G18" i="5"/>
  <c r="D35" i="5"/>
  <c r="F49" i="5"/>
  <c r="G50" i="5"/>
  <c r="H51" i="5"/>
  <c r="I51" i="5" s="1"/>
  <c r="D32" i="5"/>
  <c r="D52" i="5"/>
  <c r="E52" i="5"/>
  <c r="D50" i="5"/>
  <c r="D17" i="5"/>
  <c r="E18" i="5"/>
  <c r="G32" i="5"/>
  <c r="E50" i="5"/>
  <c r="E17" i="5"/>
  <c r="F18" i="5"/>
  <c r="F50" i="5"/>
  <c r="G49" i="5"/>
  <c r="G36" i="5" l="1"/>
  <c r="F36" i="5"/>
  <c r="I53" i="5"/>
  <c r="G19" i="5"/>
  <c r="I19" i="5"/>
  <c r="F53" i="5"/>
  <c r="G53" i="5"/>
  <c r="H19" i="5"/>
  <c r="H53" i="5"/>
  <c r="E19" i="5"/>
  <c r="F19" i="5"/>
  <c r="D36" i="5"/>
  <c r="D53" i="5"/>
  <c r="D19" i="5"/>
  <c r="E53" i="5"/>
  <c r="I32" i="5"/>
  <c r="I36" i="5" s="1"/>
  <c r="H36" i="5"/>
  <c r="C47" i="4" l="1"/>
  <c r="E46" i="4"/>
  <c r="F46" i="4" s="1"/>
  <c r="G46" i="4" s="1"/>
  <c r="E45" i="4"/>
  <c r="F45" i="4" s="1"/>
  <c r="G45" i="4" s="1"/>
  <c r="E44" i="4"/>
  <c r="F44" i="4" s="1"/>
  <c r="G44" i="4" s="1"/>
  <c r="E43" i="4"/>
  <c r="F43" i="4" s="1"/>
  <c r="G43" i="4" s="1"/>
  <c r="E42" i="4"/>
  <c r="F42" i="4" s="1"/>
  <c r="G42" i="4" s="1"/>
  <c r="E41" i="4"/>
  <c r="F41" i="4" s="1"/>
  <c r="G41" i="4" s="1"/>
  <c r="E40" i="4"/>
  <c r="F40" i="4" s="1"/>
  <c r="G40" i="4" s="1"/>
  <c r="E39" i="4"/>
  <c r="F39" i="4" s="1"/>
  <c r="G39" i="4" s="1"/>
  <c r="C37" i="4"/>
  <c r="E36" i="4"/>
  <c r="F36" i="4" s="1"/>
  <c r="G36" i="4" s="1"/>
  <c r="E35" i="4"/>
  <c r="F35" i="4" s="1"/>
  <c r="G35" i="4" s="1"/>
  <c r="E34" i="4"/>
  <c r="F34" i="4" s="1"/>
  <c r="G34" i="4" s="1"/>
  <c r="E33" i="4"/>
  <c r="F33" i="4" s="1"/>
  <c r="G33" i="4" s="1"/>
  <c r="E32" i="4"/>
  <c r="F32" i="4" s="1"/>
  <c r="G32" i="4" s="1"/>
  <c r="E31" i="4"/>
  <c r="F31" i="4" s="1"/>
  <c r="G31" i="4" s="1"/>
  <c r="E30" i="4"/>
  <c r="F30" i="4" s="1"/>
  <c r="G30" i="4" s="1"/>
  <c r="E29" i="4"/>
  <c r="F29" i="4" s="1"/>
  <c r="G29" i="4" s="1"/>
  <c r="C27" i="4"/>
  <c r="E26" i="4"/>
  <c r="F26" i="4" s="1"/>
  <c r="G26" i="4" s="1"/>
  <c r="E25" i="4"/>
  <c r="F25" i="4" s="1"/>
  <c r="G25" i="4" s="1"/>
  <c r="E24" i="4"/>
  <c r="F24" i="4" s="1"/>
  <c r="G24" i="4" s="1"/>
  <c r="E23" i="4"/>
  <c r="F23" i="4" s="1"/>
  <c r="G23" i="4" s="1"/>
  <c r="E22" i="4"/>
  <c r="F22" i="4" s="1"/>
  <c r="G22" i="4" s="1"/>
  <c r="E21" i="4"/>
  <c r="F21" i="4" s="1"/>
  <c r="G21" i="4" s="1"/>
  <c r="E20" i="4"/>
  <c r="F20" i="4" s="1"/>
  <c r="G20" i="4" s="1"/>
  <c r="E19" i="4"/>
  <c r="F19" i="4" s="1"/>
  <c r="C16" i="4"/>
  <c r="E15" i="4"/>
  <c r="F15" i="4" s="1"/>
  <c r="G15" i="4" s="1"/>
  <c r="E14" i="4"/>
  <c r="F14" i="4" s="1"/>
  <c r="G14" i="4" s="1"/>
  <c r="E13" i="4"/>
  <c r="F13" i="4" s="1"/>
  <c r="C11" i="4"/>
  <c r="E10" i="4"/>
  <c r="F10" i="4" s="1"/>
  <c r="G10" i="4" s="1"/>
  <c r="E9" i="4"/>
  <c r="F9" i="4" s="1"/>
  <c r="G9" i="4" s="1"/>
  <c r="E8" i="4"/>
  <c r="F8" i="4" s="1"/>
  <c r="G37" i="4" l="1"/>
  <c r="F16" i="4"/>
  <c r="G19" i="4"/>
  <c r="F27" i="4"/>
  <c r="G27" i="4" s="1"/>
  <c r="F11" i="4"/>
  <c r="G8" i="4"/>
  <c r="G11" i="4" s="1"/>
  <c r="F37" i="4"/>
  <c r="G13" i="4"/>
  <c r="G16" i="4" s="1"/>
  <c r="F47" i="4"/>
  <c r="D21" i="1"/>
  <c r="E21" i="1"/>
  <c r="H21" i="1"/>
  <c r="H20" i="1"/>
  <c r="G20" i="1"/>
  <c r="F20" i="1"/>
  <c r="E20" i="1"/>
  <c r="D20" i="1"/>
  <c r="E19" i="1"/>
  <c r="E18" i="1"/>
  <c r="D18" i="1"/>
  <c r="E16" i="1"/>
  <c r="D16" i="1"/>
  <c r="H15" i="1"/>
  <c r="G15" i="1"/>
  <c r="F15" i="1"/>
  <c r="E15" i="1"/>
  <c r="D15" i="1"/>
  <c r="H14" i="1"/>
  <c r="G14" i="1"/>
  <c r="F14" i="1"/>
  <c r="E14" i="1"/>
  <c r="D14" i="1"/>
  <c r="H13" i="1"/>
  <c r="G13" i="1"/>
  <c r="F13" i="1"/>
  <c r="E13" i="1"/>
  <c r="D13" i="1"/>
  <c r="H12" i="1"/>
  <c r="G12" i="1"/>
  <c r="F12" i="1"/>
  <c r="E12" i="1"/>
  <c r="D12" i="1"/>
  <c r="H10" i="1"/>
  <c r="G10" i="1"/>
  <c r="E10" i="1"/>
  <c r="D10" i="1"/>
  <c r="F48" i="4" l="1"/>
  <c r="G48" i="4" s="1"/>
  <c r="G47" i="4"/>
  <c r="G9" i="20"/>
  <c r="H9" i="20"/>
  <c r="J9" i="20"/>
  <c r="K9" i="20"/>
</calcChain>
</file>

<file path=xl/comments1.xml><?xml version="1.0" encoding="utf-8"?>
<comments xmlns="http://schemas.openxmlformats.org/spreadsheetml/2006/main">
  <authors>
    <author>Clarissa Schrötter</author>
  </authors>
  <commentList>
    <comment ref="H6" authorId="0" shapeId="0">
      <text>
        <r>
          <rPr>
            <b/>
            <sz val="9"/>
            <color indexed="81"/>
            <rFont val="Segoe UI"/>
            <family val="2"/>
          </rPr>
          <t>Clarissa Schrötter:</t>
        </r>
        <r>
          <rPr>
            <sz val="9"/>
            <color indexed="81"/>
            <rFont val="Segoe UI"/>
            <family val="2"/>
          </rPr>
          <t xml:space="preserve">
No season added</t>
        </r>
      </text>
    </comment>
    <comment ref="C12" authorId="0" shapeId="0">
      <text>
        <r>
          <rPr>
            <b/>
            <sz val="9"/>
            <color indexed="81"/>
            <rFont val="Segoe UI"/>
            <family val="2"/>
          </rPr>
          <t>Clarissa Schrötter:</t>
        </r>
        <r>
          <rPr>
            <sz val="9"/>
            <color indexed="81"/>
            <rFont val="Segoe UI"/>
            <family val="2"/>
          </rPr>
          <t xml:space="preserve">
Vielleicht ein Sorghum sr?</t>
        </r>
      </text>
    </comment>
    <comment ref="H14" authorId="0" shapeId="0">
      <text>
        <r>
          <rPr>
            <b/>
            <sz val="9"/>
            <color indexed="81"/>
            <rFont val="Segoe UI"/>
            <family val="2"/>
          </rPr>
          <t>Clarissa Schrötter:</t>
        </r>
        <r>
          <rPr>
            <sz val="9"/>
            <color indexed="81"/>
            <rFont val="Segoe UI"/>
            <family val="2"/>
          </rPr>
          <t xml:space="preserve">
Not all seasons added</t>
        </r>
      </text>
    </comment>
    <comment ref="H23" authorId="0" shapeId="0">
      <text>
        <r>
          <rPr>
            <b/>
            <sz val="9"/>
            <color indexed="81"/>
            <rFont val="Segoe UI"/>
            <family val="2"/>
          </rPr>
          <t>Clarissa Schrötter:</t>
        </r>
        <r>
          <rPr>
            <sz val="9"/>
            <color indexed="81"/>
            <rFont val="Segoe UI"/>
            <family val="2"/>
          </rPr>
          <t xml:space="preserve">
No season added</t>
        </r>
      </text>
    </comment>
    <comment ref="C30" authorId="0" shapeId="0">
      <text>
        <r>
          <rPr>
            <b/>
            <sz val="9"/>
            <color indexed="81"/>
            <rFont val="Segoe UI"/>
            <family val="2"/>
          </rPr>
          <t>Clarissa Schrötter:</t>
        </r>
        <r>
          <rPr>
            <sz val="9"/>
            <color indexed="81"/>
            <rFont val="Segoe UI"/>
            <family val="2"/>
          </rPr>
          <t xml:space="preserve">
No season added</t>
        </r>
      </text>
    </comment>
    <comment ref="H31" authorId="0" shapeId="0">
      <text>
        <r>
          <rPr>
            <b/>
            <sz val="9"/>
            <color indexed="81"/>
            <rFont val="Segoe UI"/>
            <family val="2"/>
          </rPr>
          <t>Clarissa Schrötter:</t>
        </r>
        <r>
          <rPr>
            <sz val="9"/>
            <color indexed="81"/>
            <rFont val="Segoe UI"/>
            <family val="2"/>
          </rPr>
          <t xml:space="preserve">
No season added</t>
        </r>
      </text>
    </comment>
    <comment ref="H37" authorId="0" shapeId="0">
      <text>
        <r>
          <rPr>
            <b/>
            <sz val="9"/>
            <color indexed="81"/>
            <rFont val="Segoe UI"/>
            <family val="2"/>
          </rPr>
          <t>Clarissa Schrötter:</t>
        </r>
        <r>
          <rPr>
            <sz val="9"/>
            <color indexed="81"/>
            <rFont val="Segoe UI"/>
            <family val="2"/>
          </rPr>
          <t xml:space="preserve">
No season added</t>
        </r>
      </text>
    </comment>
    <comment ref="H43" authorId="0" shapeId="0">
      <text>
        <r>
          <rPr>
            <b/>
            <sz val="9"/>
            <color indexed="81"/>
            <rFont val="Segoe UI"/>
            <family val="2"/>
          </rPr>
          <t>Clarissa Schrötter:</t>
        </r>
        <r>
          <rPr>
            <sz val="9"/>
            <color indexed="81"/>
            <rFont val="Segoe UI"/>
            <family val="2"/>
          </rPr>
          <t xml:space="preserve">
No season added</t>
        </r>
      </text>
    </comment>
    <comment ref="C48" authorId="0" shapeId="0">
      <text>
        <r>
          <rPr>
            <b/>
            <sz val="9"/>
            <color indexed="81"/>
            <rFont val="Segoe UI"/>
            <family val="2"/>
          </rPr>
          <t>Clarissa Schrötter:</t>
        </r>
        <r>
          <rPr>
            <sz val="9"/>
            <color indexed="81"/>
            <rFont val="Segoe UI"/>
            <family val="2"/>
          </rPr>
          <t xml:space="preserve">
No season added</t>
        </r>
      </text>
    </comment>
    <comment ref="H49" authorId="0" shapeId="0">
      <text>
        <r>
          <rPr>
            <b/>
            <sz val="9"/>
            <color indexed="81"/>
            <rFont val="Segoe UI"/>
            <family val="2"/>
          </rPr>
          <t>Clarissa Schrötter:</t>
        </r>
        <r>
          <rPr>
            <sz val="9"/>
            <color indexed="81"/>
            <rFont val="Segoe UI"/>
            <family val="2"/>
          </rPr>
          <t xml:space="preserve">
No season added</t>
        </r>
      </text>
    </comment>
    <comment ref="B72" authorId="0" shapeId="0">
      <text>
        <r>
          <rPr>
            <b/>
            <sz val="9"/>
            <color indexed="81"/>
            <rFont val="Segoe UI"/>
            <family val="2"/>
          </rPr>
          <t>Clarissa Schrötter:</t>
        </r>
        <r>
          <rPr>
            <sz val="9"/>
            <color indexed="81"/>
            <rFont val="Segoe UI"/>
            <family val="2"/>
          </rPr>
          <t xml:space="preserve">
DM auf englisch oder?</t>
        </r>
      </text>
    </comment>
  </commentList>
</comments>
</file>

<file path=xl/comments2.xml><?xml version="1.0" encoding="utf-8"?>
<comments xmlns="http://schemas.openxmlformats.org/spreadsheetml/2006/main">
  <authors>
    <author>Clarissa Schrötter</author>
  </authors>
  <commentList>
    <comment ref="H62" authorId="0" shapeId="0">
      <text>
        <r>
          <rPr>
            <b/>
            <sz val="9"/>
            <color indexed="81"/>
            <rFont val="Segoe UI"/>
            <family val="2"/>
          </rPr>
          <t>Clarissa Schrötter:</t>
        </r>
        <r>
          <rPr>
            <sz val="9"/>
            <color indexed="81"/>
            <rFont val="Segoe UI"/>
            <family val="2"/>
          </rPr>
          <t xml:space="preserve">
müsste es nicht 91*25 sein?</t>
        </r>
      </text>
    </comment>
  </commentList>
</comments>
</file>

<file path=xl/sharedStrings.xml><?xml version="1.0" encoding="utf-8"?>
<sst xmlns="http://schemas.openxmlformats.org/spreadsheetml/2006/main" count="1600" uniqueCount="798">
  <si>
    <t>Animal</t>
  </si>
  <si>
    <t>Unit</t>
  </si>
  <si>
    <t>Minimum outdoor space</t>
  </si>
  <si>
    <t>Pasture</t>
  </si>
  <si>
    <t>Forage</t>
  </si>
  <si>
    <t>Alley</t>
  </si>
  <si>
    <t>Water consumption per animal</t>
  </si>
  <si>
    <t>Remarks</t>
  </si>
  <si>
    <t>No.</t>
  </si>
  <si>
    <t>ha</t>
  </si>
  <si>
    <t>m</t>
  </si>
  <si>
    <t>30-80</t>
  </si>
  <si>
    <t>0,4 ha fodder crops per cow in zero grazing systems; 1 ha per cow if 100% pasture</t>
  </si>
  <si>
    <t>Cattle</t>
  </si>
  <si>
    <t>Steer</t>
  </si>
  <si>
    <t>Sheep</t>
  </si>
  <si>
    <t>Goat</t>
  </si>
  <si>
    <t>15-25</t>
  </si>
  <si>
    <t>Broiler</t>
  </si>
  <si>
    <t>0,5-0,75</t>
  </si>
  <si>
    <t>Chicken</t>
  </si>
  <si>
    <t>Donkey/Horse</t>
  </si>
  <si>
    <t>10-25 twice a day</t>
  </si>
  <si>
    <t>Rabbit</t>
  </si>
  <si>
    <t>5-20</t>
  </si>
  <si>
    <t>10-25</t>
  </si>
  <si>
    <t>Crop yields - conventional and organic</t>
  </si>
  <si>
    <t>Table 1. Cereals</t>
  </si>
  <si>
    <t>Table 4. Fruits</t>
  </si>
  <si>
    <t>Yield t/ha</t>
  </si>
  <si>
    <t>Crop (always add the season)</t>
  </si>
  <si>
    <t>Conventional</t>
  </si>
  <si>
    <t xml:space="preserve">Organic </t>
  </si>
  <si>
    <t>Maize (lr)</t>
  </si>
  <si>
    <t>3-6</t>
  </si>
  <si>
    <t>1.5-3</t>
  </si>
  <si>
    <t>Avocado</t>
  </si>
  <si>
    <t>15-30</t>
  </si>
  <si>
    <t>10-20</t>
  </si>
  <si>
    <t>Millet (lr)</t>
  </si>
  <si>
    <t>0.5-1</t>
  </si>
  <si>
    <t>0.2-0.6</t>
  </si>
  <si>
    <t>Banana</t>
  </si>
  <si>
    <t>10-45</t>
  </si>
  <si>
    <t>Wheat (lr)</t>
  </si>
  <si>
    <t>0.5-2.5</t>
  </si>
  <si>
    <t>0.1-1.5</t>
  </si>
  <si>
    <t>Citrus</t>
  </si>
  <si>
    <t>5-10</t>
  </si>
  <si>
    <t>3-5</t>
  </si>
  <si>
    <t>Sorghum (lr)</t>
  </si>
  <si>
    <t>0.5-4</t>
  </si>
  <si>
    <t>0.3-3</t>
  </si>
  <si>
    <t>Mango</t>
  </si>
  <si>
    <t>6-15</t>
  </si>
  <si>
    <t>4-8</t>
  </si>
  <si>
    <t>0.5-1.0</t>
  </si>
  <si>
    <t>0.2-0.8</t>
  </si>
  <si>
    <t>Passion fruit</t>
  </si>
  <si>
    <t>8-20</t>
  </si>
  <si>
    <t>Barley (lr)</t>
  </si>
  <si>
    <t>Pineapple</t>
  </si>
  <si>
    <t>30-60</t>
  </si>
  <si>
    <t>20-40</t>
  </si>
  <si>
    <t>Pawpaw</t>
  </si>
  <si>
    <t>8-15</t>
  </si>
  <si>
    <t>Table 2. Pulses</t>
  </si>
  <si>
    <t>Table 5a. Fodder crops (legumes)</t>
  </si>
  <si>
    <t>0.3-2.0</t>
  </si>
  <si>
    <t>Alfalfa</t>
  </si>
  <si>
    <t>4-15</t>
  </si>
  <si>
    <t>2-10</t>
  </si>
  <si>
    <t>Cow pea (lr)</t>
  </si>
  <si>
    <t>1-4.0</t>
  </si>
  <si>
    <t>0.5-2.0</t>
  </si>
  <si>
    <t>Crotalaria</t>
  </si>
  <si>
    <t>1-3</t>
  </si>
  <si>
    <t>0.8-2</t>
  </si>
  <si>
    <t>2-6</t>
  </si>
  <si>
    <t>1-4</t>
  </si>
  <si>
    <t>1-2</t>
  </si>
  <si>
    <t>Ground nut (lr)</t>
  </si>
  <si>
    <t>0.8-2.5</t>
  </si>
  <si>
    <t>Table 5b. Fodder crops (grasses)</t>
  </si>
  <si>
    <t>Soya bean (lr)</t>
  </si>
  <si>
    <t>0.5-3</t>
  </si>
  <si>
    <t>0.1-0.5</t>
  </si>
  <si>
    <t>Kikuyu grass</t>
  </si>
  <si>
    <t>*</t>
  </si>
  <si>
    <t>7-12</t>
  </si>
  <si>
    <t>Table 3. Vegetables</t>
  </si>
  <si>
    <t>Napier grass (lr)</t>
  </si>
  <si>
    <t>20-30</t>
  </si>
  <si>
    <t>Pasture permanent</t>
  </si>
  <si>
    <t>*Usually grown without any inputs</t>
  </si>
  <si>
    <t>Cabbage</t>
  </si>
  <si>
    <t>5-15</t>
  </si>
  <si>
    <t>12-20</t>
  </si>
  <si>
    <t>Cassava</t>
  </si>
  <si>
    <t>10-30</t>
  </si>
  <si>
    <t>Chili</t>
  </si>
  <si>
    <t>0.3-0.5</t>
  </si>
  <si>
    <t>0.1-0.4</t>
  </si>
  <si>
    <t>Garlic</t>
  </si>
  <si>
    <t>2-5</t>
  </si>
  <si>
    <t>Sugar cane</t>
  </si>
  <si>
    <t>20-80</t>
  </si>
  <si>
    <t>10-60</t>
  </si>
  <si>
    <t>Indigeneous vegetables</t>
  </si>
  <si>
    <t>Kale</t>
  </si>
  <si>
    <t>Onion</t>
  </si>
  <si>
    <t>5-12</t>
  </si>
  <si>
    <t>3-8</t>
  </si>
  <si>
    <t>Pepper</t>
  </si>
  <si>
    <t>0.4-0.8</t>
  </si>
  <si>
    <t>7-15</t>
  </si>
  <si>
    <t>Ginger</t>
  </si>
  <si>
    <t>2-3.0</t>
  </si>
  <si>
    <t>Spinach</t>
  </si>
  <si>
    <t>7-20</t>
  </si>
  <si>
    <t>10-15</t>
  </si>
  <si>
    <t>Table 6. Stimulant crops</t>
  </si>
  <si>
    <t>0.2-0.4</t>
  </si>
  <si>
    <t>Sunflower</t>
  </si>
  <si>
    <t>0.5-1.6</t>
  </si>
  <si>
    <t>0.25-1</t>
  </si>
  <si>
    <t>Coffee (Arabica)</t>
  </si>
  <si>
    <t xml:space="preserve">3-4 </t>
  </si>
  <si>
    <t>2-3</t>
  </si>
  <si>
    <t>Table 7. Fiber crops</t>
  </si>
  <si>
    <t>Coffee (Robusta)</t>
  </si>
  <si>
    <t>Tobacco leaves</t>
  </si>
  <si>
    <t>1-2.5</t>
  </si>
  <si>
    <t>0.5-2</t>
  </si>
  <si>
    <t>Cotton</t>
  </si>
  <si>
    <t>0.2-0.5</t>
  </si>
  <si>
    <t>http://faostat.fao.org/faostat/collections?version=ext&amp;hasbulk=0&amp;subset=agriculture</t>
  </si>
  <si>
    <t>Yield influencing factors:</t>
  </si>
  <si>
    <t xml:space="preserve">pH, rainfall, management, varieties, season, low fertilizer input, </t>
  </si>
  <si>
    <t>Fowl (broilers)</t>
  </si>
  <si>
    <t>Fowl (layers)</t>
  </si>
  <si>
    <t>Mink</t>
  </si>
  <si>
    <t>Sheep (ewes)</t>
  </si>
  <si>
    <t>Sheep (lambs)</t>
  </si>
  <si>
    <t>Swine (piglets and small)</t>
  </si>
  <si>
    <t>Swine (sows)</t>
  </si>
  <si>
    <t>Animal food and water consumption</t>
  </si>
  <si>
    <t>Crop</t>
  </si>
  <si>
    <t>%</t>
  </si>
  <si>
    <t>Clover</t>
  </si>
  <si>
    <t>Desmodium</t>
  </si>
  <si>
    <t>Total</t>
  </si>
  <si>
    <t>Green manure crops with optional multiple use</t>
  </si>
  <si>
    <t>Mucuna</t>
  </si>
  <si>
    <t>Lablab</t>
  </si>
  <si>
    <t>Cow pea</t>
  </si>
  <si>
    <t>Alley crops</t>
  </si>
  <si>
    <t>Leucena l.</t>
  </si>
  <si>
    <t>Faidherbia a.</t>
  </si>
  <si>
    <t>Tree lucerne</t>
  </si>
  <si>
    <t>Calliandra</t>
  </si>
  <si>
    <t>Tephrosia</t>
  </si>
  <si>
    <t>Pigeon pea</t>
  </si>
  <si>
    <t>Sesbania s.</t>
  </si>
  <si>
    <t>Hedge crops</t>
  </si>
  <si>
    <t>Grevillea</t>
  </si>
  <si>
    <t>Papaya</t>
  </si>
  <si>
    <t>Enset</t>
  </si>
  <si>
    <t>…</t>
  </si>
  <si>
    <t>Woodlots</t>
  </si>
  <si>
    <t xml:space="preserve">Eucalyptus globulus </t>
  </si>
  <si>
    <t xml:space="preserve">Eucalyptus camaldulensis </t>
  </si>
  <si>
    <t xml:space="preserve">Acacia decurrens </t>
  </si>
  <si>
    <t xml:space="preserve">Cupressus lusitanica </t>
  </si>
  <si>
    <t xml:space="preserve">Pinus patula </t>
  </si>
  <si>
    <t>Juniperus</t>
  </si>
  <si>
    <t>Podocarpus</t>
  </si>
  <si>
    <t>Seed demand per crop</t>
  </si>
  <si>
    <t>DMI</t>
  </si>
  <si>
    <t>Feed</t>
  </si>
  <si>
    <t>ME</t>
  </si>
  <si>
    <t>CP</t>
  </si>
  <si>
    <t>Ca</t>
  </si>
  <si>
    <t>P</t>
  </si>
  <si>
    <t>Napier grass</t>
  </si>
  <si>
    <t>Lucerne</t>
  </si>
  <si>
    <t>Sweet potato vines</t>
  </si>
  <si>
    <t>Gliricidia</t>
  </si>
  <si>
    <t>Sum</t>
  </si>
  <si>
    <t>Requirements</t>
  </si>
  <si>
    <t>Species</t>
  </si>
  <si>
    <t>DM %</t>
  </si>
  <si>
    <t>Feed ration calculator for dairy cows</t>
  </si>
  <si>
    <t>kg LW</t>
  </si>
  <si>
    <t>Pig</t>
  </si>
  <si>
    <t>Alley branches</t>
  </si>
  <si>
    <t>Two seasons</t>
  </si>
  <si>
    <t>Crop rotation</t>
  </si>
  <si>
    <t>Acres</t>
  </si>
  <si>
    <t>2a</t>
  </si>
  <si>
    <t>Maize</t>
  </si>
  <si>
    <t>2b</t>
  </si>
  <si>
    <t>3a</t>
  </si>
  <si>
    <t>Teff</t>
  </si>
  <si>
    <t>3b</t>
  </si>
  <si>
    <t>4a</t>
  </si>
  <si>
    <t>Herbs</t>
  </si>
  <si>
    <t>kg total</t>
  </si>
  <si>
    <t>Total forage demand</t>
  </si>
  <si>
    <t>Manure type</t>
  </si>
  <si>
    <t>Straw</t>
  </si>
  <si>
    <t>N</t>
  </si>
  <si>
    <t>P2O5</t>
  </si>
  <si>
    <t>K2O</t>
  </si>
  <si>
    <t>K</t>
  </si>
  <si>
    <t>Balance</t>
  </si>
  <si>
    <t>Mg</t>
  </si>
  <si>
    <t>MgO</t>
  </si>
  <si>
    <t>Area</t>
  </si>
  <si>
    <t>Crop yield</t>
  </si>
  <si>
    <t>Nutrient content of harvest products</t>
  </si>
  <si>
    <t>kg</t>
  </si>
  <si>
    <t>Rosmarin</t>
  </si>
  <si>
    <t>Forage demand</t>
  </si>
  <si>
    <t>Vegetables</t>
  </si>
  <si>
    <t>average</t>
  </si>
  <si>
    <t>C</t>
  </si>
  <si>
    <t xml:space="preserve"> </t>
  </si>
  <si>
    <t>Wheat</t>
  </si>
  <si>
    <t>Potato</t>
  </si>
  <si>
    <t>Cow</t>
  </si>
  <si>
    <t>Food</t>
  </si>
  <si>
    <t>Demand area in ha</t>
  </si>
  <si>
    <t>Sorghum</t>
  </si>
  <si>
    <t>Barley</t>
  </si>
  <si>
    <t>Enset, kocho, bulla</t>
  </si>
  <si>
    <t>Pulses</t>
  </si>
  <si>
    <t>faba bean used for calc.</t>
  </si>
  <si>
    <t>Oilseeds</t>
  </si>
  <si>
    <t>sesame used for calc.</t>
  </si>
  <si>
    <t>rough estimation</t>
  </si>
  <si>
    <t>Root crops</t>
  </si>
  <si>
    <t>Beef</t>
  </si>
  <si>
    <t>Fish products</t>
  </si>
  <si>
    <t>Dairy products</t>
  </si>
  <si>
    <t>Eggs</t>
  </si>
  <si>
    <t>Honey</t>
  </si>
  <si>
    <t>Other foods</t>
  </si>
  <si>
    <t>Timber</t>
  </si>
  <si>
    <t>Fuel woods, construction, charcoal..</t>
  </si>
  <si>
    <t>Total area needed (ha)</t>
  </si>
  <si>
    <t>Food and energy consumption</t>
  </si>
  <si>
    <t>Remark yield</t>
  </si>
  <si>
    <t>Remark demand</t>
  </si>
  <si>
    <t>Days</t>
  </si>
  <si>
    <t>Planting</t>
  </si>
  <si>
    <t>Year 1</t>
  </si>
  <si>
    <t>Year 2</t>
  </si>
  <si>
    <t>Year 3</t>
  </si>
  <si>
    <t>Year 4</t>
  </si>
  <si>
    <t>Year 5</t>
  </si>
  <si>
    <t>Year 6</t>
  </si>
  <si>
    <t>Year 0</t>
  </si>
  <si>
    <t>Days of labour</t>
  </si>
  <si>
    <t>Labour costs (Birr)</t>
  </si>
  <si>
    <t>Costs per year (Birr)</t>
  </si>
  <si>
    <t>Sale value per tree (Birr)**</t>
  </si>
  <si>
    <t>-</t>
  </si>
  <si>
    <t>Net primary value (Birr)</t>
  </si>
  <si>
    <t>Sale value 200 trees (Birr)*</t>
  </si>
  <si>
    <t>per year</t>
  </si>
  <si>
    <t>Sheet</t>
  </si>
  <si>
    <t>Description</t>
  </si>
  <si>
    <t>Contents</t>
  </si>
  <si>
    <t>Animals indoor spacing and feeding area demands</t>
  </si>
  <si>
    <t>Manure supply</t>
  </si>
  <si>
    <t>Amount</t>
  </si>
  <si>
    <t>Animals</t>
  </si>
  <si>
    <t>Total amount</t>
  </si>
  <si>
    <t xml:space="preserve">kg </t>
  </si>
  <si>
    <t>Oxen</t>
  </si>
  <si>
    <t>Donkey</t>
  </si>
  <si>
    <t>Total manure supply</t>
  </si>
  <si>
    <t>Manure demand</t>
  </si>
  <si>
    <t xml:space="preserve">Demand </t>
  </si>
  <si>
    <t>Margin</t>
  </si>
  <si>
    <t>Total demand</t>
  </si>
  <si>
    <t>Crops</t>
  </si>
  <si>
    <t xml:space="preserve"> 3-10</t>
  </si>
  <si>
    <t xml:space="preserve"> 1-10</t>
  </si>
  <si>
    <t xml:space="preserve"> 2,5-10</t>
  </si>
  <si>
    <t>Fruit trees</t>
  </si>
  <si>
    <t>Coffee</t>
  </si>
  <si>
    <t>Total manure demand</t>
  </si>
  <si>
    <t>Manure balance</t>
  </si>
  <si>
    <t>Slurry supply</t>
  </si>
  <si>
    <t>Calf</t>
  </si>
  <si>
    <t>Total slurry supply</t>
  </si>
  <si>
    <t>Slurry demand</t>
  </si>
  <si>
    <t>Total slurry demand</t>
  </si>
  <si>
    <t>Slurry balance</t>
  </si>
  <si>
    <t>kg per 1000 kg of harvest product</t>
  </si>
  <si>
    <t>Total nutrient removal in kg</t>
  </si>
  <si>
    <t>Nutrients in slurry (kg nutrients per kg slurry)</t>
  </si>
  <si>
    <t>Slurry Demand</t>
  </si>
  <si>
    <t>kg N</t>
  </si>
  <si>
    <t>Coffee (semi-forest)</t>
  </si>
  <si>
    <t xml:space="preserve">Animal </t>
  </si>
  <si>
    <t>from</t>
  </si>
  <si>
    <t>to</t>
  </si>
  <si>
    <t>Mean</t>
  </si>
  <si>
    <t>Horse</t>
  </si>
  <si>
    <t>Human</t>
  </si>
  <si>
    <t>kg nutrient/100 kg dung</t>
  </si>
  <si>
    <t>1,6-3,0</t>
  </si>
  <si>
    <t>0,3-1,0</t>
  </si>
  <si>
    <t>1,5-2,0</t>
  </si>
  <si>
    <t>g/kg dry cattle manure</t>
  </si>
  <si>
    <t>4 to 10</t>
  </si>
  <si>
    <t>15-20</t>
  </si>
  <si>
    <t>1,0-3,1</t>
  </si>
  <si>
    <t>0,6-2,5</t>
  </si>
  <si>
    <t>0,7-2,4</t>
  </si>
  <si>
    <t>g/kg dry poultry manure</t>
  </si>
  <si>
    <t>Estimates from values below</t>
  </si>
  <si>
    <t>25-30</t>
  </si>
  <si>
    <t>20-25</t>
  </si>
  <si>
    <t>11 to 20</t>
  </si>
  <si>
    <t>1,6-2,0</t>
  </si>
  <si>
    <t>0,1-0,6</t>
  </si>
  <si>
    <t>0,8-3,4</t>
  </si>
  <si>
    <t>g/kg dry sheep manure</t>
  </si>
  <si>
    <t>1,3-2,6</t>
  </si>
  <si>
    <t>0,2-0,8</t>
  </si>
  <si>
    <t>2,0-6,0</t>
  </si>
  <si>
    <t>g/kg dry goat manure</t>
  </si>
  <si>
    <t>g/kg human manure</t>
  </si>
  <si>
    <t>g/kg dry rabbit manure</t>
  </si>
  <si>
    <t>g/kg dry horse manure</t>
  </si>
  <si>
    <t>Poultry</t>
  </si>
  <si>
    <t>Manure calculations: dung nutrient contents</t>
  </si>
  <si>
    <t>kg per kg human manure</t>
  </si>
  <si>
    <t>g</t>
  </si>
  <si>
    <t>Human manure (pure nutrient)</t>
  </si>
  <si>
    <t>kg per year</t>
  </si>
  <si>
    <t>Human manure (oxide form)</t>
  </si>
  <si>
    <t>Expected yield 60 dt / ha</t>
  </si>
  <si>
    <t>kg nutrients per 1.000 kg of harvested product</t>
  </si>
  <si>
    <t>Grain</t>
  </si>
  <si>
    <t>Grain+Straw</t>
  </si>
  <si>
    <t>Whole plant</t>
  </si>
  <si>
    <t>Alfalfa (DM)</t>
  </si>
  <si>
    <t>Clover (DM)</t>
  </si>
  <si>
    <t>Green bean</t>
  </si>
  <si>
    <t>Fruit</t>
  </si>
  <si>
    <t>Explanation:</t>
  </si>
  <si>
    <t xml:space="preserve">Nitrogen: The upper values are average official european recommendations. To obtain a range, 40% were subtracted from the EU-values. </t>
  </si>
  <si>
    <t xml:space="preserve">kg N </t>
  </si>
  <si>
    <t>Grain legumes</t>
  </si>
  <si>
    <t>Potato </t>
  </si>
  <si>
    <t>Nutrients provided by fresh manure</t>
  </si>
  <si>
    <t>Number of animals</t>
  </si>
  <si>
    <t>Number of days</t>
  </si>
  <si>
    <t>kg per kg manure</t>
  </si>
  <si>
    <t>Sheep &amp; Goat</t>
  </si>
  <si>
    <t>Cattle slurry (no added water)</t>
  </si>
  <si>
    <t>N provided by forage and grain legumes</t>
  </si>
  <si>
    <t>Forage legumes</t>
  </si>
  <si>
    <t>N – amounts (roots and stubble)</t>
  </si>
  <si>
    <t>N provided to the following crop</t>
  </si>
  <si>
    <t>Range</t>
  </si>
  <si>
    <t>Average</t>
  </si>
  <si>
    <t>70-180</t>
  </si>
  <si>
    <t>20-100</t>
  </si>
  <si>
    <t>Nutrient input from stable and legumes</t>
  </si>
  <si>
    <t>Nutrient balances</t>
  </si>
  <si>
    <t>Forage balance</t>
  </si>
  <si>
    <t>Phase</t>
  </si>
  <si>
    <t>150-200</t>
  </si>
  <si>
    <t>200-300</t>
  </si>
  <si>
    <t>300-400</t>
  </si>
  <si>
    <t>400-500</t>
  </si>
  <si>
    <t>500-600</t>
  </si>
  <si>
    <t>Concentrates</t>
  </si>
  <si>
    <t>150-600</t>
  </si>
  <si>
    <t>Assumption for the calculation</t>
  </si>
  <si>
    <t>per cattle 700 days</t>
  </si>
  <si>
    <t>per cattle up to 365 days</t>
  </si>
  <si>
    <t>per cattle 366-700 days</t>
  </si>
  <si>
    <t xml:space="preserve">Efficiency </t>
  </si>
  <si>
    <t>Water</t>
  </si>
  <si>
    <t>Livestock</t>
  </si>
  <si>
    <t>Table 10. Oil crops</t>
  </si>
  <si>
    <t>Table 9. Spices</t>
  </si>
  <si>
    <t>Table 8. Sugar cane</t>
  </si>
  <si>
    <t>Yield</t>
  </si>
  <si>
    <t xml:space="preserve">Margin </t>
  </si>
  <si>
    <t>Total yield DM kg</t>
  </si>
  <si>
    <t xml:space="preserve"> 5-12</t>
  </si>
  <si>
    <t xml:space="preserve"> 7-15</t>
  </si>
  <si>
    <t xml:space="preserve"> 1-4</t>
  </si>
  <si>
    <t xml:space="preserve"> 0,5-3</t>
  </si>
  <si>
    <t>Maize stover</t>
  </si>
  <si>
    <t xml:space="preserve"> 0,5-2</t>
  </si>
  <si>
    <t xml:space="preserve"> 0,25-2</t>
  </si>
  <si>
    <t>Free grazing</t>
  </si>
  <si>
    <t>Total forage offer</t>
  </si>
  <si>
    <t>Forage Balance</t>
  </si>
  <si>
    <t>Nutrient balance</t>
  </si>
  <si>
    <t>Plot +15%</t>
  </si>
  <si>
    <t>Plant type</t>
  </si>
  <si>
    <t>SC</t>
  </si>
  <si>
    <t>TB</t>
  </si>
  <si>
    <t>TS</t>
  </si>
  <si>
    <t>4 rows of maize / beans / mucuna</t>
  </si>
  <si>
    <t>2 rows of maize / beans / mucuna</t>
  </si>
  <si>
    <t>Banana/Enset</t>
  </si>
  <si>
    <t>BE</t>
  </si>
  <si>
    <t>R</t>
  </si>
  <si>
    <t>Maize + Beans</t>
  </si>
  <si>
    <t>MB</t>
  </si>
  <si>
    <t>Undersown legumes</t>
  </si>
  <si>
    <t>UL</t>
  </si>
  <si>
    <t>Open</t>
  </si>
  <si>
    <t>O</t>
  </si>
  <si>
    <t>H</t>
  </si>
  <si>
    <t>V</t>
  </si>
  <si>
    <t>Total m</t>
  </si>
  <si>
    <t>cm</t>
  </si>
  <si>
    <t xml:space="preserve">optional </t>
  </si>
  <si>
    <t>other crops</t>
  </si>
  <si>
    <t>MB (seeds)</t>
  </si>
  <si>
    <t>UL (seeds)</t>
  </si>
  <si>
    <t>Total plants</t>
  </si>
  <si>
    <t>Calculation</t>
  </si>
  <si>
    <t>Explanation</t>
  </si>
  <si>
    <t>TGW g</t>
  </si>
  <si>
    <t>kg t</t>
  </si>
  <si>
    <t xml:space="preserve">Maize </t>
  </si>
  <si>
    <t>Beans</t>
  </si>
  <si>
    <t>Undersown</t>
  </si>
  <si>
    <t>coffee rows</t>
  </si>
  <si>
    <t xml:space="preserve">Useful website for further information on crop yields for various countries: </t>
  </si>
  <si>
    <t>* alley, hedge and woodlots</t>
  </si>
  <si>
    <t>Total  tree seedlings*</t>
  </si>
  <si>
    <t>Forage crops</t>
  </si>
  <si>
    <t>Crop group</t>
  </si>
  <si>
    <t>%**</t>
  </si>
  <si>
    <t>Table 1. Calculating the maximum dry matter intake (DMI)</t>
  </si>
  <si>
    <t>Oils &amp; fats</t>
  </si>
  <si>
    <t>Vegetables &amp; fruit</t>
  </si>
  <si>
    <t>Table 1. Six person household food demand per year</t>
  </si>
  <si>
    <t>Table 1. Crop seeds and tree seedling demand</t>
  </si>
  <si>
    <t>50-150 ml  
kg-1 LW</t>
  </si>
  <si>
    <t>Seed and material costs (Birr)</t>
  </si>
  <si>
    <t>Indicator</t>
  </si>
  <si>
    <t>Table 1. Estimated dry manure supply per animal and crop demand</t>
  </si>
  <si>
    <t>Manure production and distribution</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</si>
  <si>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</si>
  <si>
    <r>
      <t>K</t>
    </r>
    <r>
      <rPr>
        <b/>
        <vertAlign val="subscript"/>
        <sz val="11"/>
        <color theme="1"/>
        <rFont val="Calibri"/>
        <family val="2"/>
        <scheme val="minor"/>
      </rPr>
      <t>2</t>
    </r>
    <r>
      <rPr>
        <b/>
        <sz val="11"/>
        <color theme="1"/>
        <rFont val="Calibri"/>
        <family val="2"/>
        <scheme val="minor"/>
      </rPr>
      <t>O</t>
    </r>
  </si>
  <si>
    <r>
      <t>ha</t>
    </r>
    <r>
      <rPr>
        <b/>
        <vertAlign val="superscript"/>
        <sz val="11"/>
        <color theme="1"/>
        <rFont val="Calibri"/>
        <family val="2"/>
        <scheme val="minor"/>
      </rPr>
      <t>-1</t>
    </r>
  </si>
  <si>
    <r>
      <t>kg ha</t>
    </r>
    <r>
      <rPr>
        <b/>
        <vertAlign val="superscript"/>
        <sz val="11"/>
        <color theme="1"/>
        <rFont val="Calibri"/>
        <family val="2"/>
        <scheme val="minor"/>
      </rPr>
      <t>-1</t>
    </r>
  </si>
  <si>
    <r>
      <t>% N-Fix</t>
    </r>
    <r>
      <rPr>
        <sz val="11"/>
        <color theme="1"/>
        <rFont val="Calibri"/>
        <family val="2"/>
        <scheme val="minor"/>
      </rPr>
      <t> </t>
    </r>
  </si>
  <si>
    <r>
      <t>1</t>
    </r>
    <r>
      <rPr>
        <b/>
        <vertAlign val="superscript"/>
        <sz val="11"/>
        <color theme="1"/>
        <rFont val="Calibri"/>
        <family val="2"/>
        <scheme val="minor"/>
      </rPr>
      <t>st</t>
    </r>
    <r>
      <rPr>
        <b/>
        <sz val="11"/>
        <color theme="1"/>
        <rFont val="Calibri"/>
        <family val="2"/>
        <scheme val="minor"/>
      </rPr>
      <t xml:space="preserve"> year 75%</t>
    </r>
  </si>
  <si>
    <r>
      <t>2</t>
    </r>
    <r>
      <rPr>
        <b/>
        <vertAlign val="superscript"/>
        <sz val="11"/>
        <color theme="1"/>
        <rFont val="Calibri"/>
        <family val="2"/>
        <scheme val="minor"/>
      </rPr>
      <t>nd</t>
    </r>
    <r>
      <rPr>
        <b/>
        <sz val="11"/>
        <color theme="1"/>
        <rFont val="Calibri"/>
        <family val="2"/>
        <scheme val="minor"/>
      </rPr>
      <t xml:space="preserve"> year 25%</t>
    </r>
  </si>
  <si>
    <t>cultivated area in ha</t>
  </si>
  <si>
    <t>Total N on cultivated area</t>
  </si>
  <si>
    <t>Biomass products</t>
  </si>
  <si>
    <r>
      <t xml:space="preserve">Economy of alley crops ( ex. </t>
    </r>
    <r>
      <rPr>
        <b/>
        <i/>
        <sz val="11"/>
        <color theme="1"/>
        <rFont val="Calibri"/>
        <family val="2"/>
        <scheme val="minor"/>
      </rPr>
      <t>Grevillea robusta</t>
    </r>
    <r>
      <rPr>
        <b/>
        <sz val="11"/>
        <color theme="1"/>
        <rFont val="Calibri"/>
        <family val="2"/>
        <scheme val="minor"/>
      </rPr>
      <t>)</t>
    </r>
  </si>
  <si>
    <t>Table of contents</t>
  </si>
  <si>
    <t>Abbreviations</t>
  </si>
  <si>
    <t>ILU</t>
  </si>
  <si>
    <t xml:space="preserve">Maximum dry matter intake </t>
  </si>
  <si>
    <t xml:space="preserve">International Livestock Unit </t>
  </si>
  <si>
    <t xml:space="preserve">K </t>
  </si>
  <si>
    <t xml:space="preserve">DM </t>
  </si>
  <si>
    <t>Crude protein</t>
  </si>
  <si>
    <t>Carbon</t>
  </si>
  <si>
    <t>Dry matter</t>
  </si>
  <si>
    <t>Hectare</t>
  </si>
  <si>
    <t>Potassium</t>
  </si>
  <si>
    <t>Potassium oxide</t>
  </si>
  <si>
    <t>Kilogram</t>
  </si>
  <si>
    <t>Meter</t>
  </si>
  <si>
    <t>Nitrogen</t>
  </si>
  <si>
    <t>Magnesium oxide</t>
  </si>
  <si>
    <t>Millilitre</t>
  </si>
  <si>
    <t>14 Livestock</t>
  </si>
  <si>
    <t>Table 1: Body weight, water and food consumption rates per day and per kilogram of body weight (mean values for livestock)</t>
  </si>
  <si>
    <t>Table 2. Body weight, water and food consumption rates per day and per kilogram of body weight  (mean values for domestic animals)</t>
  </si>
  <si>
    <t>Body weight</t>
  </si>
  <si>
    <t xml:space="preserve">7 Crop profiles and crop combinations over space and time </t>
  </si>
  <si>
    <t>15 Dairy cattle</t>
  </si>
  <si>
    <t>Planting scheme</t>
  </si>
  <si>
    <t xml:space="preserve">21 Nutrient balances and consequences for fertilizer management </t>
  </si>
  <si>
    <t>22 Farm and household</t>
  </si>
  <si>
    <t xml:space="preserve">11 Hedge and alley systems </t>
  </si>
  <si>
    <t>Manure calculations: dung nutrient content</t>
  </si>
  <si>
    <t>Gram</t>
  </si>
  <si>
    <t>LW</t>
  </si>
  <si>
    <t>Economy of alley crops</t>
  </si>
  <si>
    <t>Amount of fresh dung kg/day</t>
  </si>
  <si>
    <t>Forage supply</t>
  </si>
  <si>
    <t>Animal weight</t>
  </si>
  <si>
    <t>Source: Adapted from OneAcreFund (2014)</t>
  </si>
  <si>
    <t>*The trees do not provide a cash flow per year, but rather provide income when the trees are harvested. The sale values are conservative estimates.</t>
  </si>
  <si>
    <t>Table 2. Forage balance for an average animal husbandry group in a smallholder farm per year</t>
  </si>
  <si>
    <t xml:space="preserve">Demand** </t>
  </si>
  <si>
    <t xml:space="preserve">Forage balances have to be positive or at least neutral. In this case the provided crops and area would be barely enough to feed one cow. The given forage balance is negative due to the exemplary housing of every kind of farm animal and thereby acts only as draft. It can be found and modified in the additional materials provided together in this handbook. </t>
  </si>
  <si>
    <t>Animal indoor spacing and feeding area demands</t>
  </si>
  <si>
    <t>Table 1. Animal indoor spacing and feeding area (stable/ pasture/ arable land/ alleys)</t>
  </si>
  <si>
    <t>Metabolisable energy</t>
  </si>
  <si>
    <t xml:space="preserve">Live weight </t>
  </si>
  <si>
    <t>Phosphorus oxide</t>
  </si>
  <si>
    <t xml:space="preserve"> kg DM</t>
  </si>
  <si>
    <t>up to 150</t>
  </si>
  <si>
    <t>Broom, D. M., Galindo, F. A., &amp; Murgueitio, E. (2013). Sustainable, efficient livestock production with high biodiversity and good welfare for animals. Proceedings of the Royal Society B: Biological Sciences, 280(1771), 20132025.</t>
  </si>
  <si>
    <t>We calculated with 5 t of manure = about 80 kg N (1,6 kg N * 100 kg manure); (1,6 kg is the lower value --&gt; see 10. Dung nutrient contents)</t>
  </si>
  <si>
    <t>Table 2. Estimated slurry provision by animals and demand by crops</t>
  </si>
  <si>
    <t>Table 3. Exemplary slurry demand calculation according to N demand (P and K not included in this calculation - however, needs to be included when calculating the nutrient balance)</t>
  </si>
  <si>
    <t>Table 1. Nutrient content of dry manure</t>
  </si>
  <si>
    <t>Table 2. Nutrient content of fresh manure and slurry</t>
  </si>
  <si>
    <t>DM</t>
  </si>
  <si>
    <t>N total</t>
  </si>
  <si>
    <t xml:space="preserve">Solid </t>
  </si>
  <si>
    <t>Ø</t>
  </si>
  <si>
    <t>16-43</t>
  </si>
  <si>
    <t>0,5-2,5</t>
  </si>
  <si>
    <t>0,5-2</t>
  </si>
  <si>
    <t>25-48</t>
  </si>
  <si>
    <t>25-40</t>
  </si>
  <si>
    <t>20-35</t>
  </si>
  <si>
    <t>30-50</t>
  </si>
  <si>
    <t>0,5-3</t>
  </si>
  <si>
    <t>45-85</t>
  </si>
  <si>
    <t>18-40</t>
  </si>
  <si>
    <t>2,5-6,5</t>
  </si>
  <si>
    <t>Layer</t>
  </si>
  <si>
    <t>22-55</t>
  </si>
  <si>
    <t>13-45</t>
  </si>
  <si>
    <t xml:space="preserve">Liquid </t>
  </si>
  <si>
    <t>0,2-4</t>
  </si>
  <si>
    <t>0,6-8</t>
  </si>
  <si>
    <t>0,6-3</t>
  </si>
  <si>
    <t>Solid matter (g)</t>
  </si>
  <si>
    <t>per year (g)</t>
  </si>
  <si>
    <t>per year (kg)</t>
  </si>
  <si>
    <t>Source: Mnkeni, P. N. S., &amp; Austin, L. M. (2009). Fertiliser value of human manure from pilot urine-diversion toilets. Water SA, 35(1).</t>
  </si>
  <si>
    <t>n/a</t>
  </si>
  <si>
    <t>Cow/Cattle</t>
  </si>
  <si>
    <t>Table 1. Nutrient content/removal of crops</t>
  </si>
  <si>
    <t>Sources:</t>
  </si>
  <si>
    <t>Teff:</t>
  </si>
  <si>
    <t>Mango:</t>
  </si>
  <si>
    <t>Demiss, M., Beyene, S., &amp; Kidanu, S. (2019). Biomass accumulation and potassium concentrations in tissue of Teff (Eragrostis tef Zucc. Trotter) at three growth stages in Vertisols and Nitisols of the Central Highlands of Ethiopia. African Journal of Agricultural Research, 14(6), 345-353.</t>
  </si>
  <si>
    <t>https://www.raiffeisen-ebensfeld.de/sortiment/agrar/duenger/</t>
  </si>
  <si>
    <t>Alfalfa &amp; Clover:</t>
  </si>
  <si>
    <t>Values in literature mentioned as P and K were converted to the oxide form using the respective formula.</t>
  </si>
  <si>
    <t>Coffee:</t>
  </si>
  <si>
    <t>Product input</t>
  </si>
  <si>
    <t>Fertilizer</t>
  </si>
  <si>
    <t>….</t>
  </si>
  <si>
    <t>Total fertilizer</t>
  </si>
  <si>
    <t xml:space="preserve">Feed </t>
  </si>
  <si>
    <t>Total feed</t>
  </si>
  <si>
    <t>Product output</t>
  </si>
  <si>
    <t xml:space="preserve">Crops </t>
  </si>
  <si>
    <t>Total crops</t>
  </si>
  <si>
    <t>Animal products</t>
  </si>
  <si>
    <t>Total animal products</t>
  </si>
  <si>
    <t>Total all</t>
  </si>
  <si>
    <r>
      <t>DM kg ha</t>
    </r>
    <r>
      <rPr>
        <b/>
        <vertAlign val="superscript"/>
        <sz val="11"/>
        <color theme="1"/>
        <rFont val="Calibri (Body)"/>
      </rPr>
      <t>-1</t>
    </r>
  </si>
  <si>
    <r>
      <t>DM t ha</t>
    </r>
    <r>
      <rPr>
        <b/>
        <vertAlign val="superscript"/>
        <sz val="11"/>
        <color theme="1"/>
        <rFont val="Calibri (Body)"/>
      </rPr>
      <t>-1</t>
    </r>
  </si>
  <si>
    <r>
      <t>DM kg day</t>
    </r>
    <r>
      <rPr>
        <b/>
        <vertAlign val="superscript"/>
        <sz val="11"/>
        <color theme="1"/>
        <rFont val="Calibri (Body)"/>
      </rPr>
      <t>-1</t>
    </r>
  </si>
  <si>
    <r>
      <t>m</t>
    </r>
    <r>
      <rPr>
        <b/>
        <vertAlign val="superscript"/>
        <sz val="11"/>
        <color theme="1"/>
        <rFont val="Calibri"/>
        <family val="2"/>
        <scheme val="minor"/>
      </rPr>
      <t>2</t>
    </r>
    <r>
      <rPr>
        <b/>
        <sz val="11"/>
        <color theme="1"/>
        <rFont val="Calibri"/>
        <family val="2"/>
        <scheme val="minor"/>
      </rPr>
      <t xml:space="preserve"> animal</t>
    </r>
    <r>
      <rPr>
        <b/>
        <vertAlign val="superscript"/>
        <sz val="11"/>
        <color theme="1"/>
        <rFont val="Calibri (Body)"/>
      </rPr>
      <t>-1</t>
    </r>
    <r>
      <rPr>
        <b/>
        <sz val="11"/>
        <color theme="1"/>
        <rFont val="Calibri"/>
        <family val="2"/>
        <scheme val="minor"/>
      </rPr>
      <t>*</t>
    </r>
  </si>
  <si>
    <r>
      <t>m</t>
    </r>
    <r>
      <rPr>
        <b/>
        <vertAlign val="superscript"/>
        <sz val="11"/>
        <color theme="1"/>
        <rFont val="Calibri"/>
        <family val="2"/>
        <scheme val="minor"/>
      </rPr>
      <t>2</t>
    </r>
    <r>
      <rPr>
        <b/>
        <sz val="11"/>
        <color theme="1"/>
        <rFont val="Calibri"/>
        <family val="2"/>
        <scheme val="minor"/>
      </rPr>
      <t xml:space="preserve"> animal</t>
    </r>
    <r>
      <rPr>
        <b/>
        <vertAlign val="superscript"/>
        <sz val="11"/>
        <color theme="1"/>
        <rFont val="Calibri (Body)"/>
      </rPr>
      <t>-1</t>
    </r>
  </si>
  <si>
    <r>
      <t>kg day</t>
    </r>
    <r>
      <rPr>
        <b/>
        <vertAlign val="superscript"/>
        <sz val="11"/>
        <color theme="1"/>
        <rFont val="Calibri"/>
        <family val="2"/>
      </rPr>
      <t>-1</t>
    </r>
  </si>
  <si>
    <r>
      <t>kg ha</t>
    </r>
    <r>
      <rPr>
        <b/>
        <vertAlign val="superscript"/>
        <sz val="11"/>
        <color theme="1"/>
        <rFont val="Calibri"/>
        <family val="2"/>
      </rPr>
      <t>-1</t>
    </r>
  </si>
  <si>
    <r>
      <t>kg P</t>
    </r>
    <r>
      <rPr>
        <b/>
        <vertAlign val="subscript"/>
        <sz val="11"/>
        <color theme="1"/>
        <rFont val="Calibri (Body)"/>
      </rPr>
      <t>2</t>
    </r>
    <r>
      <rPr>
        <b/>
        <sz val="11"/>
        <color theme="1"/>
        <rFont val="Calibri"/>
        <family val="2"/>
        <scheme val="minor"/>
      </rPr>
      <t>O</t>
    </r>
    <r>
      <rPr>
        <b/>
        <vertAlign val="subscript"/>
        <sz val="11"/>
        <color theme="1"/>
        <rFont val="Calibri (Body)"/>
      </rPr>
      <t>5</t>
    </r>
  </si>
  <si>
    <r>
      <t>K</t>
    </r>
    <r>
      <rPr>
        <b/>
        <vertAlign val="subscript"/>
        <sz val="11"/>
        <color theme="1"/>
        <rFont val="Calibri (Body)"/>
      </rPr>
      <t>2</t>
    </r>
    <r>
      <rPr>
        <b/>
        <sz val="11"/>
        <color theme="1"/>
        <rFont val="Calibri"/>
        <family val="2"/>
        <scheme val="minor"/>
      </rPr>
      <t>O</t>
    </r>
  </si>
  <si>
    <r>
      <t>P</t>
    </r>
    <r>
      <rPr>
        <b/>
        <vertAlign val="subscript"/>
        <sz val="11"/>
        <color theme="1"/>
        <rFont val="Calibri (Body)"/>
      </rPr>
      <t>2</t>
    </r>
    <r>
      <rPr>
        <b/>
        <sz val="11"/>
        <color theme="1"/>
        <rFont val="Calibri"/>
        <family val="2"/>
        <scheme val="minor"/>
      </rPr>
      <t>O</t>
    </r>
    <r>
      <rPr>
        <b/>
        <vertAlign val="subscript"/>
        <sz val="11"/>
        <color theme="1"/>
        <rFont val="Calibri (Body)"/>
      </rPr>
      <t>5</t>
    </r>
  </si>
  <si>
    <r>
      <t>kg K</t>
    </r>
    <r>
      <rPr>
        <b/>
        <vertAlign val="subscript"/>
        <sz val="11"/>
        <color theme="1"/>
        <rFont val="Calibri (Body)"/>
      </rPr>
      <t>2</t>
    </r>
    <r>
      <rPr>
        <b/>
        <sz val="11"/>
        <color theme="1"/>
        <rFont val="Calibri"/>
        <family val="2"/>
        <scheme val="minor"/>
      </rPr>
      <t>O</t>
    </r>
  </si>
  <si>
    <r>
      <t>94,5 m</t>
    </r>
    <r>
      <rPr>
        <vertAlign val="superscript"/>
        <sz val="11"/>
        <color theme="1"/>
        <rFont val="Calibri (Body)"/>
      </rPr>
      <t>2</t>
    </r>
  </si>
  <si>
    <r>
      <t>2x8 seeds per m</t>
    </r>
    <r>
      <rPr>
        <vertAlign val="superscript"/>
        <sz val="11"/>
        <color theme="1"/>
        <rFont val="Calibri (Body)"/>
      </rPr>
      <t>2</t>
    </r>
  </si>
  <si>
    <r>
      <t>25 seeds per m</t>
    </r>
    <r>
      <rPr>
        <vertAlign val="superscript"/>
        <sz val="11"/>
        <color theme="1"/>
        <rFont val="Calibri (Body)"/>
      </rPr>
      <t>2</t>
    </r>
  </si>
  <si>
    <r>
      <t>P to P</t>
    </r>
    <r>
      <rPr>
        <vertAlign val="subscript"/>
        <sz val="11"/>
        <color theme="1"/>
        <rFont val="Calibri (Body)"/>
      </rPr>
      <t>2</t>
    </r>
    <r>
      <rPr>
        <sz val="11"/>
        <color theme="1"/>
        <rFont val="Calibri"/>
        <family val="2"/>
        <scheme val="minor"/>
      </rPr>
      <t>O</t>
    </r>
    <r>
      <rPr>
        <vertAlign val="subscript"/>
        <sz val="11"/>
        <color theme="1"/>
        <rFont val="Calibri (Body)"/>
      </rPr>
      <t>5</t>
    </r>
  </si>
  <si>
    <r>
      <t>K to K</t>
    </r>
    <r>
      <rPr>
        <vertAlign val="subscript"/>
        <sz val="11"/>
        <color theme="1"/>
        <rFont val="Calibri (Body)"/>
      </rPr>
      <t>2</t>
    </r>
    <r>
      <rPr>
        <sz val="11"/>
        <color theme="1"/>
        <rFont val="Calibri"/>
        <family val="2"/>
        <scheme val="minor"/>
      </rPr>
      <t>O</t>
    </r>
  </si>
  <si>
    <t>2-8</t>
  </si>
  <si>
    <t>6-9</t>
  </si>
  <si>
    <t>4-9</t>
  </si>
  <si>
    <t>3-10</t>
  </si>
  <si>
    <t>1-6</t>
  </si>
  <si>
    <t>2-15</t>
  </si>
  <si>
    <t>5-25</t>
  </si>
  <si>
    <t>8-16</t>
  </si>
  <si>
    <t>2-9</t>
  </si>
  <si>
    <t>7-25</t>
  </si>
  <si>
    <t>8-27</t>
  </si>
  <si>
    <t>1-9</t>
  </si>
  <si>
    <t>6-16</t>
  </si>
  <si>
    <t>2-7</t>
  </si>
  <si>
    <t>7-23</t>
  </si>
  <si>
    <t>6-18</t>
  </si>
  <si>
    <t>Big tree</t>
  </si>
  <si>
    <t>Small (legume) tree</t>
  </si>
  <si>
    <t xml:space="preserve">12 Coffee </t>
  </si>
  <si>
    <r>
      <t>kg ha</t>
    </r>
    <r>
      <rPr>
        <b/>
        <vertAlign val="superscript"/>
        <sz val="11"/>
        <color theme="1"/>
        <rFont val="Calibri"/>
        <family val="2"/>
        <scheme val="minor"/>
      </rPr>
      <t>-1</t>
    </r>
    <r>
      <rPr>
        <b/>
        <sz val="11"/>
        <color theme="1"/>
        <rFont val="Calibri"/>
        <family val="2"/>
        <scheme val="minor"/>
      </rPr>
      <t xml:space="preserve"> K</t>
    </r>
  </si>
  <si>
    <r>
      <t>NO</t>
    </r>
    <r>
      <rPr>
        <b/>
        <vertAlign val="subscript"/>
        <sz val="11"/>
        <color theme="1"/>
        <rFont val="Calibri (Body)"/>
      </rPr>
      <t>3</t>
    </r>
  </si>
  <si>
    <t>Handbook chapter</t>
  </si>
  <si>
    <t xml:space="preserve">18 Animal manure management </t>
  </si>
  <si>
    <t>Table 3. Example 400 kg cow, 3000 kg milk yield</t>
  </si>
  <si>
    <t>Table 2. Example 350 kg cow, 2000 kg milk yield</t>
  </si>
  <si>
    <r>
      <t>Fresh material day</t>
    </r>
    <r>
      <rPr>
        <b/>
        <vertAlign val="superscript"/>
        <sz val="11"/>
        <color theme="1"/>
        <rFont val="Calibri (Body)"/>
      </rPr>
      <t>-1</t>
    </r>
    <r>
      <rPr>
        <b/>
        <sz val="11"/>
        <color theme="1"/>
        <rFont val="Calibri"/>
        <family val="2"/>
        <scheme val="minor"/>
      </rPr>
      <t xml:space="preserve"> (kg)</t>
    </r>
  </si>
  <si>
    <r>
      <t>Fresh material year</t>
    </r>
    <r>
      <rPr>
        <b/>
        <vertAlign val="superscript"/>
        <sz val="11"/>
        <color theme="1"/>
        <rFont val="Calibri (Body)"/>
      </rPr>
      <t>-1</t>
    </r>
    <r>
      <rPr>
        <b/>
        <sz val="11"/>
        <color theme="1"/>
        <rFont val="Calibri"/>
        <family val="2"/>
        <scheme val="minor"/>
      </rPr>
      <t xml:space="preserve"> (kg) </t>
    </r>
  </si>
  <si>
    <r>
      <t>Fresh material year</t>
    </r>
    <r>
      <rPr>
        <b/>
        <vertAlign val="superscript"/>
        <sz val="11"/>
        <color theme="1"/>
        <rFont val="Calibri (Body)"/>
      </rPr>
      <t>-1</t>
    </r>
    <r>
      <rPr>
        <b/>
        <sz val="11"/>
        <color theme="1"/>
        <rFont val="Calibri"/>
        <family val="2"/>
        <scheme val="minor"/>
      </rPr>
      <t xml:space="preserve"> (kg)</t>
    </r>
  </si>
  <si>
    <t>However, the values depend on different factors as mentioned in the chapter "nutrient balances".</t>
  </si>
  <si>
    <t xml:space="preserve">Table 2a. Exemplary calculation of a crop rotation and the respective  nutrient export from fields </t>
  </si>
  <si>
    <t>Table 2b. Nutrients provided by fresh animal manure</t>
  </si>
  <si>
    <t>Table 2c. Nitrogen provided by forage grain and legumes on cultivated area</t>
  </si>
  <si>
    <t>Table 2d. Nitrogen provided by forage and grain legumes</t>
  </si>
  <si>
    <t>Table 2e. Overall balance</t>
  </si>
  <si>
    <t xml:space="preserve">Table 3. Exemplary table: Farmgate nutrient balance calculation sheet </t>
  </si>
  <si>
    <t>* products that are bought in</t>
  </si>
  <si>
    <t xml:space="preserve">2 The overall approach of Organic Farming </t>
  </si>
  <si>
    <t>Centimeter</t>
  </si>
  <si>
    <t>Litre</t>
  </si>
  <si>
    <t>The crop yield covers wide climatic zones and growing seasons.</t>
  </si>
  <si>
    <t>Yields under organic farming are obtained under the low input traditional farming practices.</t>
  </si>
  <si>
    <t>overgrazing, evapotranspiration, soil nutrition status (low P levels), seed quality.</t>
  </si>
  <si>
    <r>
      <rPr>
        <b/>
        <sz val="11"/>
        <rFont val="Calibri"/>
        <family val="2"/>
        <scheme val="minor"/>
      </rPr>
      <t>Pig:</t>
    </r>
    <r>
      <rPr>
        <sz val="11"/>
        <rFont val="Calibri"/>
        <family val="2"/>
        <scheme val="minor"/>
      </rPr>
      <t xml:space="preserve"> slaughter 50 kg ; 20 kg grains, tuber crops, sweet potato, additional elefant grass, lablab, residues of different plants</t>
    </r>
  </si>
  <si>
    <t>sr = short rain; lr = long rain</t>
  </si>
  <si>
    <t>Bean (lr)</t>
  </si>
  <si>
    <t>French bean (lr)</t>
  </si>
  <si>
    <t>Garden pea</t>
  </si>
  <si>
    <t>Pigeon pea (lr)</t>
  </si>
  <si>
    <t>Carrot</t>
  </si>
  <si>
    <t>Sweet potato</t>
  </si>
  <si>
    <t>Tomato</t>
  </si>
  <si>
    <t>Simsim (Sesame)</t>
  </si>
  <si>
    <r>
      <t xml:space="preserve">Table 1. Exemplary economic calculation </t>
    </r>
    <r>
      <rPr>
        <b/>
        <i/>
        <sz val="11"/>
        <color rgb="FF000000"/>
        <rFont val="Calibri"/>
        <family val="2"/>
        <scheme val="minor"/>
      </rPr>
      <t xml:space="preserve">of Grevillea robusta </t>
    </r>
    <r>
      <rPr>
        <b/>
        <sz val="11"/>
        <color rgb="FF000000"/>
        <rFont val="Calibri"/>
        <family val="2"/>
        <scheme val="minor"/>
      </rPr>
      <t xml:space="preserve">cultivation with 200 trees using a space of 10 x 5 m on 1 ha </t>
    </r>
  </si>
  <si>
    <t>300 cm</t>
  </si>
  <si>
    <t xml:space="preserve">150 cm </t>
  </si>
  <si>
    <t>Plot (m²)</t>
  </si>
  <si>
    <t>Hedge 3 m</t>
  </si>
  <si>
    <t>ca. 16 cm x 75 cm</t>
  </si>
  <si>
    <r>
      <t>91 m</t>
    </r>
    <r>
      <rPr>
        <vertAlign val="superscript"/>
        <sz val="11"/>
        <color theme="1"/>
        <rFont val="Calibri (Body)"/>
      </rPr>
      <t xml:space="preserve">2 </t>
    </r>
    <r>
      <rPr>
        <sz val="11"/>
        <color theme="1"/>
        <rFont val="Calibri"/>
        <family val="2"/>
        <scheme val="minor"/>
      </rPr>
      <t>* 25 seeds</t>
    </r>
  </si>
  <si>
    <r>
      <t>Remark: Excel B2; ** 2.2 kg DM 100 kg</t>
    </r>
    <r>
      <rPr>
        <vertAlign val="superscript"/>
        <sz val="11"/>
        <color theme="1"/>
        <rFont val="Calibri (Body)"/>
      </rPr>
      <t>-1</t>
    </r>
    <r>
      <rPr>
        <sz val="11"/>
        <color theme="1"/>
        <rFont val="Calibri"/>
        <family val="2"/>
        <scheme val="minor"/>
      </rPr>
      <t xml:space="preserve"> LW; * Desmodium, clover, alfalfa or mucuna; calculation of dry matter (Broom et al., 2013): Fresh matter (FM) x 0.8 directly after harvest.</t>
    </r>
  </si>
  <si>
    <r>
      <t>* 2.2 kg 100 kg</t>
    </r>
    <r>
      <rPr>
        <vertAlign val="superscript"/>
        <sz val="11"/>
        <color theme="1"/>
        <rFont val="Calibri (Body)"/>
      </rPr>
      <t>-1</t>
    </r>
    <r>
      <rPr>
        <sz val="11"/>
        <color theme="1"/>
        <rFont val="Calibri"/>
        <family val="2"/>
        <scheme val="minor"/>
      </rPr>
      <t xml:space="preserve"> LW</t>
    </r>
  </si>
  <si>
    <t>Cow (300-400 kg)</t>
  </si>
  <si>
    <t>Pig (&gt; 40 kg)</t>
  </si>
  <si>
    <t>Sow &amp; Piglet</t>
  </si>
  <si>
    <t>Minimum indoor space</t>
  </si>
  <si>
    <r>
      <t>If together with herd, free range area = 9 m</t>
    </r>
    <r>
      <rPr>
        <vertAlign val="superscript"/>
        <sz val="11"/>
        <color theme="1"/>
        <rFont val="Calibri"/>
        <family val="2"/>
        <scheme val="minor"/>
      </rPr>
      <t>2</t>
    </r>
  </si>
  <si>
    <r>
      <t>0,5 m</t>
    </r>
    <r>
      <rPr>
        <vertAlign val="superscript"/>
        <sz val="11"/>
        <color theme="1"/>
        <rFont val="Calibri"/>
        <family val="2"/>
        <scheme val="minor"/>
      </rPr>
      <t>2</t>
    </r>
    <r>
      <rPr>
        <sz val="11"/>
        <color theme="1"/>
        <rFont val="Calibri"/>
        <family val="2"/>
        <scheme val="minor"/>
      </rPr>
      <t xml:space="preserve"> space per lamb</t>
    </r>
  </si>
  <si>
    <r>
      <t>0,5 m</t>
    </r>
    <r>
      <rPr>
        <vertAlign val="superscript"/>
        <sz val="11"/>
        <color theme="1"/>
        <rFont val="Calibri"/>
        <family val="2"/>
        <scheme val="minor"/>
      </rPr>
      <t>2</t>
    </r>
    <r>
      <rPr>
        <sz val="11"/>
        <color theme="1"/>
        <rFont val="Calibri"/>
        <family val="2"/>
        <scheme val="minor"/>
      </rPr>
      <t xml:space="preserve"> space per fawn</t>
    </r>
  </si>
  <si>
    <t>Sources: Own compilation, (EG) Nr. 834/2007, * Kraal , www. infonet-biovision.org</t>
  </si>
  <si>
    <t>Sources: Own compilation, various sources</t>
  </si>
  <si>
    <t>Sources: IfÖL, Freyer (2006)</t>
  </si>
  <si>
    <t>Turkey</t>
  </si>
  <si>
    <t>Pigeon</t>
  </si>
  <si>
    <t>Duck</t>
  </si>
  <si>
    <t>Cow (heifers)</t>
  </si>
  <si>
    <t>Cow (dairy cows)</t>
  </si>
  <si>
    <t>Cow (beef cattle)</t>
  </si>
  <si>
    <t>Consumption/kg</t>
  </si>
  <si>
    <t>Consumption/day</t>
  </si>
  <si>
    <t>g/kg</t>
  </si>
  <si>
    <t>Budgie</t>
  </si>
  <si>
    <t>Cat</t>
  </si>
  <si>
    <t>Dog</t>
  </si>
  <si>
    <t>Ferret</t>
  </si>
  <si>
    <t>Gerbil</t>
  </si>
  <si>
    <t>Guinea pig</t>
  </si>
  <si>
    <t>Hamster (chinese)</t>
  </si>
  <si>
    <t>Hamster (syrian)</t>
  </si>
  <si>
    <t>Mouse</t>
  </si>
  <si>
    <t>Rat</t>
  </si>
  <si>
    <t>Domestic animal</t>
  </si>
  <si>
    <t>Consumption/g</t>
  </si>
  <si>
    <t>Source: http://www.env.gov.bc.ca/wat/wq/reference/foodandwater.html#table1</t>
  </si>
  <si>
    <t>Live weight (kg)</t>
  </si>
  <si>
    <t>Milk yield (l)</t>
  </si>
  <si>
    <t>DMI (kg)</t>
  </si>
  <si>
    <t>Milk yield per year</t>
  </si>
  <si>
    <t>Table 4. Example 450 kg cow, 4000 kg milk yield</t>
  </si>
  <si>
    <t>Example for the calculation of Napier grass:</t>
  </si>
  <si>
    <t>Snijders (2011) applies 70 kg N/ha. In combination with the cutting regime, this amount gives best milk yields.</t>
  </si>
  <si>
    <t>Snijders, P. J., Wouters, A. P., &amp; Kariuki, J. N. (2011). Effect of cutting management and nitrogen supply on yield and quality of Napier grass (Pennisetum purpureum) (No. 544). Wageningen UR Livestock Research.</t>
  </si>
  <si>
    <t>Table above calculated from the following tables:</t>
  </si>
  <si>
    <t>Source: Lupwayi (2000). Plant nutrient contents of cattle manures from small-scale farms and experimental stations in the Ethiopian highlands. These values are rounded and only data from farmers field, excluding dung from experimental stations (see Table 3 in the paper).</t>
  </si>
  <si>
    <t>Values from higher input farms available at https://www.fertilizer.org/images/Library_Downloads/2016_Nutrient_Management_Handbook.pdf</t>
  </si>
  <si>
    <r>
      <t xml:space="preserve">Moreno-Caselles, J., Moral, R., Perez-Murcia, M., Perez-Espinosa, A., &amp; Rufete, B. (2002). Nutrient value of animal manures in front of environmental hazards. Communications in Soil Science and Plant Analysis, </t>
    </r>
    <r>
      <rPr>
        <i/>
        <sz val="11"/>
        <color theme="1"/>
        <rFont val="Calibri"/>
        <family val="2"/>
        <scheme val="minor"/>
      </rPr>
      <t>33</t>
    </r>
    <r>
      <rPr>
        <sz val="11"/>
        <color theme="1"/>
        <rFont val="Calibri"/>
        <family val="2"/>
        <scheme val="minor"/>
      </rPr>
      <t>(15-18), 3023-3032.</t>
    </r>
  </si>
  <si>
    <t>Karunanithi (2015: 201) gives a global estimate of 18 g/kg P in poultry manure. Here, I took a third of that, as he estimates about 9 g/kg P for cattle, and Lupwayi (2000) estimated 3,5 g/kg P for cattle manure.</t>
  </si>
  <si>
    <r>
      <t xml:space="preserve">Powell, J. M., Fernández-Rivera, S., &amp; Höfs, S. (1994). Effects of sheep diet on nutrient cycling in mixed farming systems of semi-arid West Africa. Agriculture, ecosystems &amp; environment, </t>
    </r>
    <r>
      <rPr>
        <i/>
        <sz val="11"/>
        <color theme="1"/>
        <rFont val="Calibri"/>
        <family val="2"/>
        <scheme val="minor"/>
      </rPr>
      <t>48</t>
    </r>
    <r>
      <rPr>
        <sz val="11"/>
        <color theme="1"/>
        <rFont val="Calibri"/>
        <family val="2"/>
        <scheme val="minor"/>
      </rPr>
      <t>(3), 263-271.</t>
    </r>
  </si>
  <si>
    <t>Calculated with numbers from: Fasae, O. A., Emiola, O. S., &amp; Adu, I. F. (2009). Production of manure from West African dwarf sheep. Archivos de zootecnia, 58(1), 601-604.</t>
  </si>
  <si>
    <t>Gichangi, E. M., &amp; Mnkeni, P. N. S. (2009). Effects of Goat Manure and Lime Addition on Phosphate Sorption by Two Soils from the Transkei Region, South Africa. Communications in Soil Science and Plant Analysis, 40:21-22, 3335-3347, DOI: 10.1080/00103620903325943</t>
  </si>
  <si>
    <r>
      <t xml:space="preserve">Mnkeni, P. N. S., &amp; Austin, L. M. (2009). Fertiliser value of human manure from pilot urine-diversion toilets. </t>
    </r>
    <r>
      <rPr>
        <sz val="11"/>
        <color theme="1"/>
        <rFont val="Calibri"/>
        <family val="2"/>
        <scheme val="minor"/>
      </rPr>
      <t xml:space="preserve">Water SA, </t>
    </r>
    <r>
      <rPr>
        <i/>
        <sz val="11"/>
        <color theme="1"/>
        <rFont val="Calibri"/>
        <family val="2"/>
        <scheme val="minor"/>
      </rPr>
      <t>35</t>
    </r>
    <r>
      <rPr>
        <sz val="11"/>
        <color theme="1"/>
        <rFont val="Calibri"/>
        <family val="2"/>
        <scheme val="minor"/>
      </rPr>
      <t>(1). Mnkeni manure is from research station, so better management and therefore higher values.</t>
    </r>
  </si>
  <si>
    <r>
      <t xml:space="preserve">Mnkeni, P. N. S., &amp; Austin, L. M. (2009). Fertiliser value of human manure from pilot urine-diversion toilets. </t>
    </r>
    <r>
      <rPr>
        <sz val="11"/>
        <color theme="1"/>
        <rFont val="Calibri"/>
        <family val="2"/>
        <scheme val="minor"/>
      </rPr>
      <t xml:space="preserve">Water SA, </t>
    </r>
    <r>
      <rPr>
        <i/>
        <sz val="11"/>
        <color theme="1"/>
        <rFont val="Calibri"/>
        <family val="2"/>
        <scheme val="minor"/>
      </rPr>
      <t>35</t>
    </r>
    <r>
      <rPr>
        <sz val="11"/>
        <color theme="1"/>
        <rFont val="Calibri"/>
        <family val="2"/>
        <scheme val="minor"/>
      </rPr>
      <t>(1).</t>
    </r>
  </si>
  <si>
    <t>Estimated from below</t>
  </si>
  <si>
    <t>Table 3. Nutrient content in human excreta (dry matter)</t>
  </si>
  <si>
    <t>Average daily fresh production of human excreta 130 g (75% water, 25% solid matter). Source: www.britannica.com</t>
  </si>
  <si>
    <t xml:space="preserve">Table 4. Human manure nutrient content and nutrient demand of wheat </t>
  </si>
  <si>
    <t xml:space="preserve">Nutrient demand of wheat </t>
  </si>
  <si>
    <t>Faba bean</t>
  </si>
  <si>
    <t>Pea</t>
  </si>
  <si>
    <t>Sorghum / Sudan grass</t>
  </si>
  <si>
    <t>Tubers</t>
  </si>
  <si>
    <t>Phosphorus and Potassium: From the values from "www.raiffeisen-ebensfeld.de", 30% were added and subtracted to obtain a range. The actual values depend on the soil nutrient stock etc.</t>
  </si>
  <si>
    <t>Upper values for coffee are those from plantation coffee.</t>
  </si>
  <si>
    <t>Source for all, except those mentioned below:</t>
  </si>
  <si>
    <t>Freyer, B. (2003). Fruchtfolgen. Ulmer Verlag.</t>
  </si>
  <si>
    <r>
      <t xml:space="preserve">Mellado-Vázquez, A., Salazar-García, S., Goenaga, R., &amp; López-Jiménez, A. (2019). Survey of fruit nutrient removal by mango (Mangifera indica L.) cultivars for the export market in various producing regions of Mexico. REVISTA TERRA LATINOAMERICANA, </t>
    </r>
    <r>
      <rPr>
        <i/>
        <sz val="11"/>
        <color theme="1"/>
        <rFont val="Calibri"/>
        <family val="2"/>
        <scheme val="minor"/>
      </rPr>
      <t>37</t>
    </r>
    <r>
      <rPr>
        <sz val="11"/>
        <color theme="1"/>
        <rFont val="Calibri"/>
        <family val="2"/>
        <scheme val="minor"/>
      </rPr>
      <t>(4), 437-447.</t>
    </r>
  </si>
  <si>
    <t>Napier grass:</t>
  </si>
  <si>
    <r>
      <t xml:space="preserve">Valencia‐Gica, R. B., Yost, R. S., &amp; Porter, G. (2012). Biomass production and nutrient removal by tropical grasses subsurface drip‐irrigated with dairy effluent. Grass and forage Science, </t>
    </r>
    <r>
      <rPr>
        <i/>
        <sz val="11"/>
        <color theme="1"/>
        <rFont val="Calibri"/>
        <family val="2"/>
        <scheme val="minor"/>
      </rPr>
      <t>67</t>
    </r>
    <r>
      <rPr>
        <sz val="11"/>
        <color theme="1"/>
        <rFont val="Calibri"/>
        <family val="2"/>
        <scheme val="minor"/>
      </rPr>
      <t>(3), 337-349.</t>
    </r>
  </si>
  <si>
    <t xml:space="preserve">Own estimation </t>
  </si>
  <si>
    <t>Herbs &amp; Pasture:</t>
  </si>
  <si>
    <t>Liquid manure</t>
  </si>
  <si>
    <t>Number of animals and amount of manure/slurry needs to be context-specific adapted.</t>
  </si>
  <si>
    <r>
      <t>kg ha</t>
    </r>
    <r>
      <rPr>
        <b/>
        <vertAlign val="superscript"/>
        <sz val="11"/>
        <color theme="1"/>
        <rFont val="Calibri"/>
        <family val="2"/>
        <scheme val="minor"/>
      </rPr>
      <t xml:space="preserve">-1 </t>
    </r>
    <r>
      <rPr>
        <b/>
        <sz val="11"/>
        <color theme="1"/>
        <rFont val="Calibri"/>
        <family val="2"/>
        <scheme val="minor"/>
      </rPr>
      <t>N</t>
    </r>
  </si>
  <si>
    <r>
      <t>kg ha</t>
    </r>
    <r>
      <rPr>
        <b/>
        <vertAlign val="superscript"/>
        <sz val="11"/>
        <color theme="1"/>
        <rFont val="Calibri"/>
        <family val="2"/>
        <scheme val="minor"/>
      </rPr>
      <t xml:space="preserve">-1 </t>
    </r>
    <r>
      <rPr>
        <b/>
        <sz val="11"/>
        <color theme="1"/>
        <rFont val="Calibri"/>
        <family val="2"/>
        <scheme val="minor"/>
      </rPr>
      <t>P</t>
    </r>
  </si>
  <si>
    <t>Other cereals (incl. processed)</t>
  </si>
  <si>
    <t>Sugar &amp; salt</t>
  </si>
  <si>
    <t>Mutton &amp; goat</t>
  </si>
  <si>
    <t>Range in t</t>
  </si>
  <si>
    <t>0,8-2,5</t>
  </si>
  <si>
    <t>0,5-1,5</t>
  </si>
  <si>
    <t>0,3-2,5</t>
  </si>
  <si>
    <t>0,4-2</t>
  </si>
  <si>
    <t>approx. demand</t>
  </si>
  <si>
    <t>sweet potato used for calc.</t>
  </si>
  <si>
    <t>2,1-10 kg</t>
  </si>
  <si>
    <t>Sources: National Food Consumption Survey Report Ethiopia, FAO, Seyoum (2013), various sources</t>
  </si>
  <si>
    <r>
      <t>kg t</t>
    </r>
    <r>
      <rPr>
        <b/>
        <vertAlign val="superscript"/>
        <sz val="11"/>
        <color theme="1"/>
        <rFont val="Calibri"/>
        <family val="2"/>
        <scheme val="minor"/>
      </rPr>
      <t>-1</t>
    </r>
    <r>
      <rPr>
        <b/>
        <sz val="11"/>
        <color theme="1"/>
        <rFont val="Calibri"/>
        <family val="2"/>
        <scheme val="minor"/>
      </rPr>
      <t xml:space="preserve"> FM </t>
    </r>
  </si>
  <si>
    <r>
      <t>(= g kg</t>
    </r>
    <r>
      <rPr>
        <b/>
        <vertAlign val="superscript"/>
        <sz val="11"/>
        <color theme="1"/>
        <rFont val="Calibri"/>
        <family val="2"/>
        <scheme val="minor"/>
      </rPr>
      <t>-1</t>
    </r>
    <r>
      <rPr>
        <b/>
        <sz val="11"/>
        <color theme="1"/>
        <rFont val="Calibri"/>
        <family val="2"/>
        <scheme val="minor"/>
      </rPr>
      <t>)</t>
    </r>
  </si>
  <si>
    <r>
      <t>NH</t>
    </r>
    <r>
      <rPr>
        <b/>
        <vertAlign val="subscript"/>
        <sz val="11"/>
        <color theme="1"/>
        <rFont val="Calibri"/>
        <family val="2"/>
        <scheme val="minor"/>
      </rPr>
      <t>4</t>
    </r>
    <r>
      <rPr>
        <b/>
        <sz val="11"/>
        <color theme="1"/>
        <rFont val="Calibri"/>
        <family val="2"/>
        <scheme val="minor"/>
      </rPr>
      <t>-N</t>
    </r>
  </si>
  <si>
    <r>
      <t xml:space="preserve">Cattle slurry </t>
    </r>
    <r>
      <rPr>
        <sz val="11"/>
        <color theme="1"/>
        <rFont val="Calibri"/>
        <family val="2"/>
        <scheme val="minor"/>
      </rPr>
      <t>(without water)</t>
    </r>
  </si>
  <si>
    <t>http://www.fao.org/3/ae939e/ae939e06.htm</t>
  </si>
  <si>
    <r>
      <t xml:space="preserve">
</t>
    </r>
    <r>
      <rPr>
        <b/>
        <u/>
        <sz val="11"/>
        <color theme="1"/>
        <rFont val="Calibri"/>
        <family val="2"/>
        <scheme val="minor"/>
      </rPr>
      <t>Remark:</t>
    </r>
    <r>
      <rPr>
        <sz val="11"/>
        <color theme="1"/>
        <rFont val="Calibri"/>
        <family val="2"/>
        <scheme val="minor"/>
      </rPr>
      <t xml:space="preserve"> The values are estimates and highly depend on different factors. For example:
Snijders (2009): Annual nitrogen and manure availability for land application vary much, ranging respectively from 5 to 77 kg N and 0.4 to 1.8 t manure dry matter (DM) per cow, respectively.
</t>
    </r>
    <r>
      <rPr>
        <b/>
        <u/>
        <sz val="11"/>
        <color theme="1"/>
        <rFont val="Calibri"/>
        <family val="2"/>
        <scheme val="minor"/>
      </rPr>
      <t>Source:</t>
    </r>
    <r>
      <rPr>
        <sz val="11"/>
        <color theme="1"/>
        <rFont val="Calibri"/>
        <family val="2"/>
        <scheme val="minor"/>
      </rPr>
      <t xml:space="preserve"> Snijders (2009). Cattle manure management in East Africa: Review of manure quality and nutrient losses and scenarios for cattle and manure management.</t>
    </r>
  </si>
  <si>
    <t xml:space="preserve">l </t>
  </si>
  <si>
    <t>ml</t>
  </si>
  <si>
    <t>Calcium</t>
  </si>
  <si>
    <t xml:space="preserve">P </t>
  </si>
  <si>
    <t xml:space="preserve">Phosphor </t>
  </si>
  <si>
    <t>FM</t>
  </si>
  <si>
    <t>Fresh matter</t>
  </si>
  <si>
    <t xml:space="preserve">Mg </t>
  </si>
  <si>
    <t xml:space="preserve">Magnesium  </t>
  </si>
  <si>
    <t xml:space="preserve">t </t>
  </si>
  <si>
    <t>tons</t>
  </si>
  <si>
    <t xml:space="preserve">a </t>
  </si>
  <si>
    <t>Year (annus)</t>
  </si>
  <si>
    <t>Manure calculations: dung/slurry supply &amp; crop demand</t>
  </si>
  <si>
    <r>
      <t>Goat:</t>
    </r>
    <r>
      <rPr>
        <sz val="11"/>
        <rFont val="Calibri"/>
        <family val="2"/>
        <scheme val="minor"/>
      </rPr>
      <t xml:space="preserve"> grass 0.5-1.5 kg/day TM</t>
    </r>
  </si>
  <si>
    <r>
      <t>Cow:</t>
    </r>
    <r>
      <rPr>
        <sz val="11"/>
        <rFont val="Calibri"/>
        <family val="2"/>
        <scheme val="minor"/>
      </rPr>
      <t xml:space="preserve"> grass 5-8 kg/day TM</t>
    </r>
  </si>
  <si>
    <r>
      <t>Mule:</t>
    </r>
    <r>
      <rPr>
        <sz val="11"/>
        <rFont val="Calibri"/>
        <family val="2"/>
        <scheme val="minor"/>
      </rPr>
      <t xml:space="preserve"> 2.5-3.5 kg/day TM</t>
    </r>
  </si>
  <si>
    <t>kg seeds/ha</t>
  </si>
  <si>
    <t>kg seeds/0,1 ha</t>
  </si>
  <si>
    <t>kg (% share/0,1 ha)</t>
  </si>
  <si>
    <t>kg seeds/1000 ha</t>
  </si>
  <si>
    <t>Reading: example trees: ** share of trees per area and of all trees: e.g. 10% of all tress should be Leucena; *** No. of trees per ha if 100%; **** No. of trees per ha if 10%; ***** No. per 0,1 ha if share is 10%; ****** calculation for a community with 1.000 ha</t>
  </si>
  <si>
    <t>row</t>
  </si>
  <si>
    <r>
      <t>13 m * 8 seeds/m² * 3 m</t>
    </r>
    <r>
      <rPr>
        <vertAlign val="superscript"/>
        <sz val="11"/>
        <color theme="1"/>
        <rFont val="Calibri (Body)"/>
      </rPr>
      <t xml:space="preserve">2 </t>
    </r>
    <r>
      <rPr>
        <sz val="11"/>
        <color theme="1"/>
        <rFont val="Calibri"/>
        <family val="2"/>
        <scheme val="minor"/>
      </rPr>
      <t>* 2 seeds per hole x Maize + Beans</t>
    </r>
  </si>
  <si>
    <t>Table 1. Live weight (LW) of cattle, dry matter (DM) intake and daily growth rate</t>
  </si>
  <si>
    <t>Grass silage/day</t>
  </si>
  <si>
    <t>DM kg/day</t>
  </si>
  <si>
    <t>Crop residue t/ha</t>
  </si>
  <si>
    <t>Soil erosion t/ha</t>
  </si>
  <si>
    <t>l</t>
  </si>
  <si>
    <t>l/kg</t>
  </si>
  <si>
    <t>Yield kg/ha</t>
  </si>
  <si>
    <t>kg nutrient/100 kg dry manure</t>
  </si>
  <si>
    <t>From</t>
  </si>
  <si>
    <t>To</t>
  </si>
  <si>
    <t>kg N/ha</t>
  </si>
  <si>
    <t>(kg N/ha)</t>
  </si>
  <si>
    <t>Per person g/day</t>
  </si>
  <si>
    <t>Per person kg/a</t>
  </si>
  <si>
    <t>Per household (6) kg/a</t>
  </si>
  <si>
    <t xml:space="preserve"> Averge yield kg/ha</t>
  </si>
  <si>
    <t>assuming 20 m³/ha</t>
  </si>
  <si>
    <t>Trees /ha***</t>
  </si>
  <si>
    <t>Trees/0,1 ha****</t>
  </si>
  <si>
    <t>Seedlings (% share/0,1 ha)*****</t>
  </si>
  <si>
    <t>Seedlings/1000 ha ******</t>
  </si>
  <si>
    <t>Source: Own compilation (values are estimated according to different sources and might need to be adapted to the specific context)</t>
  </si>
  <si>
    <t>Plants/ha</t>
  </si>
  <si>
    <t>Row No.</t>
  </si>
  <si>
    <r>
      <t>Total kg/m</t>
    </r>
    <r>
      <rPr>
        <b/>
        <vertAlign val="superscript"/>
        <sz val="11"/>
        <color theme="1"/>
        <rFont val="Calibri (Body)"/>
      </rPr>
      <t>2</t>
    </r>
  </si>
  <si>
    <t>Plot</t>
  </si>
  <si>
    <t>Total DM kg</t>
  </si>
  <si>
    <t>Daily growth g</t>
  </si>
  <si>
    <t>Per day</t>
  </si>
  <si>
    <r>
      <t>l day</t>
    </r>
    <r>
      <rPr>
        <b/>
        <vertAlign val="superscript"/>
        <sz val="11"/>
        <color theme="1"/>
        <rFont val="Calibri (Body)"/>
      </rPr>
      <t>-1</t>
    </r>
  </si>
  <si>
    <t>Per person kg/day</t>
  </si>
  <si>
    <t>Plants/seedper plot</t>
  </si>
  <si>
    <r>
      <t>DM kg area</t>
    </r>
    <r>
      <rPr>
        <b/>
        <vertAlign val="superscript"/>
        <sz val="11"/>
        <color theme="1"/>
        <rFont val="Calibri (Body)"/>
      </rPr>
      <t>-1</t>
    </r>
  </si>
  <si>
    <t>3-20</t>
  </si>
  <si>
    <t>4b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</si>
</sst>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0.0"/>
    <numFmt numFmtId="166" formatCode="0.000"/>
    <numFmt numFmtId="167" formatCode="00000"/>
    <numFmt numFmtId="168" formatCode="0.0000"/>
  </numFmts>
  <fonts count="36">
    <font>
      <sz val="11"/>
      <color theme="1"/>
      <name val="Calibri"/>
      <family val="2"/>
      <scheme val="minor"/>
    </font>
    <font>
      <b/>
      <sz val="11"/>
      <color theme="1"/>
      <name val="Calibri"/>
      <family val="2"/>
      <scheme val="minor"/>
    </font>
    <font>
      <u/>
      <sz val="10"/>
      <color indexed="12"/>
      <name val="Arial"/>
      <family val="2"/>
    </font>
    <font>
      <sz val="11"/>
      <color theme="1"/>
      <name val="Calibri"/>
      <family val="2"/>
      <scheme val="minor"/>
    </font>
    <font>
      <sz val="11"/>
      <color theme="0"/>
      <name val="Calibri"/>
      <family val="2"/>
      <scheme val="minor"/>
    </font>
    <font>
      <sz val="11"/>
      <color rgb="FF000000"/>
      <name val="Calibri"/>
      <family val="2"/>
      <scheme val="minor"/>
    </font>
    <font>
      <sz val="10"/>
      <color theme="1"/>
      <name val="Calibri"/>
      <family val="2"/>
      <scheme val="minor"/>
    </font>
    <font>
      <i/>
      <sz val="11"/>
      <color theme="1"/>
      <name val="Calibri"/>
      <family val="2"/>
      <scheme val="minor"/>
    </font>
    <font>
      <b/>
      <i/>
      <sz val="11"/>
      <color theme="1"/>
      <name val="Calibri"/>
      <family val="2"/>
      <scheme val="minor"/>
    </font>
    <font>
      <sz val="11"/>
      <color rgb="FF000000"/>
      <name val="Calibri"/>
      <family val="2"/>
    </font>
    <font>
      <b/>
      <sz val="11"/>
      <color rgb="FF000000"/>
      <name val="Calibri"/>
      <family val="2"/>
    </font>
    <font>
      <sz val="11"/>
      <color theme="1"/>
      <name val="Times New Roman"/>
      <family val="1"/>
    </font>
    <font>
      <b/>
      <sz val="11"/>
      <color rgb="FF000000"/>
      <name val="Calibri"/>
      <family val="2"/>
      <scheme val="minor"/>
    </font>
    <font>
      <b/>
      <sz val="11"/>
      <name val="Calibri"/>
      <family val="2"/>
      <scheme val="minor"/>
    </font>
    <font>
      <sz val="12"/>
      <color rgb="FF000000"/>
      <name val="Calibri"/>
      <family val="2"/>
      <scheme val="minor"/>
    </font>
    <font>
      <vertAlign val="superscript"/>
      <sz val="11"/>
      <color theme="1"/>
      <name val="Calibri"/>
      <family val="2"/>
      <scheme val="minor"/>
    </font>
    <font>
      <b/>
      <sz val="11"/>
      <color indexed="12"/>
      <name val="Calibri"/>
      <family val="2"/>
      <scheme val="minor"/>
    </font>
    <font>
      <u/>
      <sz val="11"/>
      <color indexed="12"/>
      <name val="Calibri"/>
      <family val="2"/>
      <scheme val="minor"/>
    </font>
    <font>
      <sz val="11"/>
      <name val="Calibri"/>
      <family val="2"/>
      <scheme val="minor"/>
    </font>
    <font>
      <u/>
      <sz val="11"/>
      <name val="Calibri"/>
      <family val="2"/>
      <scheme val="minor"/>
    </font>
    <font>
      <b/>
      <sz val="11"/>
      <color theme="4" tint="-0.24994659260841701"/>
      <name val="Calibri"/>
      <family val="2"/>
      <scheme val="minor"/>
    </font>
    <font>
      <sz val="11"/>
      <color rgb="FFFF0000"/>
      <name val="Calibri"/>
      <family val="2"/>
      <scheme val="minor"/>
    </font>
    <font>
      <b/>
      <vertAlign val="superscript"/>
      <sz val="11"/>
      <color theme="1"/>
      <name val="Calibri"/>
      <family val="2"/>
      <scheme val="minor"/>
    </font>
    <font>
      <b/>
      <i/>
      <sz val="11"/>
      <color rgb="FF000000"/>
      <name val="Calibri"/>
      <family val="2"/>
      <scheme val="minor"/>
    </font>
    <font>
      <b/>
      <sz val="11"/>
      <color theme="1"/>
      <name val="Calibri"/>
      <family val="2"/>
    </font>
    <font>
      <b/>
      <vertAlign val="subscript"/>
      <sz val="11"/>
      <color theme="1"/>
      <name val="Calibri"/>
      <family val="2"/>
      <scheme val="minor"/>
    </font>
    <font>
      <sz val="12"/>
      <color theme="1"/>
      <name val="Calibri (Body)_x0000_"/>
    </font>
    <font>
      <b/>
      <u/>
      <sz val="11"/>
      <color theme="1"/>
      <name val="Calibri"/>
      <family val="2"/>
      <scheme val="minor"/>
    </font>
    <font>
      <b/>
      <vertAlign val="superscript"/>
      <sz val="11"/>
      <color theme="1"/>
      <name val="Calibri"/>
      <family val="2"/>
    </font>
    <font>
      <b/>
      <vertAlign val="superscript"/>
      <sz val="11"/>
      <color theme="1"/>
      <name val="Calibri (Body)"/>
    </font>
    <font>
      <vertAlign val="superscript"/>
      <sz val="11"/>
      <color theme="1"/>
      <name val="Calibri (Body)"/>
    </font>
    <font>
      <b/>
      <vertAlign val="subscript"/>
      <sz val="11"/>
      <color theme="1"/>
      <name val="Calibri (Body)"/>
    </font>
    <font>
      <vertAlign val="subscript"/>
      <sz val="11"/>
      <color theme="1"/>
      <name val="Calibri (Body)"/>
    </font>
    <font>
      <sz val="9"/>
      <color indexed="81"/>
      <name val="Segoe UI"/>
      <family val="2"/>
    </font>
    <font>
      <b/>
      <sz val="9"/>
      <color indexed="81"/>
      <name val="Segoe UI"/>
      <family val="2"/>
    </font>
    <font>
      <i/>
      <sz val="11"/>
      <color rgb="FF000000"/>
      <name val="Calibri"/>
      <family val="2"/>
      <scheme val="minor"/>
    </font>
  </fonts>
  <fills count="2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4B083"/>
        <bgColor indexed="64"/>
      </patternFill>
    </fill>
    <fill>
      <patternFill patternType="solid">
        <fgColor rgb="FFFFC000"/>
        <bgColor indexed="64"/>
      </patternFill>
    </fill>
    <fill>
      <patternFill patternType="solid">
        <fgColor theme="7" tint="-0.24994659260841701"/>
        <bgColor indexed="64"/>
      </patternFill>
    </fill>
    <fill>
      <patternFill patternType="solid">
        <fgColor theme="4" tint="0.3999450666829432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rgb="FFC6E0B4"/>
        <bgColor rgb="FF000000"/>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0" tint="-0.249977111117893"/>
        <bgColor indexed="64"/>
      </patternFill>
    </fill>
  </fills>
  <borders count="61">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double">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3" fillId="0" borderId="0" applyFont="0" applyFill="0" applyBorder="0" applyAlignment="0" applyProtection="0"/>
    <xf numFmtId="164" fontId="3" fillId="0" borderId="0" applyFont="0" applyFill="0" applyBorder="0" applyAlignment="0" applyProtection="0"/>
  </cellStyleXfs>
  <cellXfs count="755">
    <xf numFmtId="0" fontId="0" fillId="0" borderId="0" xfId="0"/>
    <xf numFmtId="0" fontId="0" fillId="0" borderId="0" xfId="0" applyBorder="1"/>
    <xf numFmtId="0" fontId="1" fillId="0" borderId="12" xfId="0" applyFont="1" applyFill="1" applyBorder="1"/>
    <xf numFmtId="0" fontId="3" fillId="0" borderId="12" xfId="0" applyFont="1" applyFill="1" applyBorder="1"/>
    <xf numFmtId="1" fontId="3" fillId="0" borderId="12" xfId="0" applyNumberFormat="1" applyFont="1" applyFill="1" applyBorder="1"/>
    <xf numFmtId="1" fontId="1" fillId="0" borderId="12" xfId="0" applyNumberFormat="1" applyFont="1" applyFill="1" applyBorder="1"/>
    <xf numFmtId="0" fontId="0" fillId="0" borderId="12" xfId="0" applyBorder="1"/>
    <xf numFmtId="165" fontId="0" fillId="0" borderId="12" xfId="0" applyNumberFormat="1" applyBorder="1"/>
    <xf numFmtId="0" fontId="0" fillId="6" borderId="12" xfId="0" applyFont="1" applyFill="1" applyBorder="1"/>
    <xf numFmtId="0" fontId="0" fillId="0" borderId="14" xfId="0" applyBorder="1"/>
    <xf numFmtId="2" fontId="0" fillId="0" borderId="12" xfId="0" applyNumberFormat="1" applyBorder="1"/>
    <xf numFmtId="0" fontId="0" fillId="0" borderId="12" xfId="0" applyFont="1" applyBorder="1"/>
    <xf numFmtId="1" fontId="0" fillId="0" borderId="12" xfId="0" applyNumberFormat="1" applyFont="1" applyBorder="1"/>
    <xf numFmtId="2" fontId="0" fillId="0" borderId="12" xfId="2" applyNumberFormat="1" applyFont="1" applyBorder="1"/>
    <xf numFmtId="166" fontId="0" fillId="0" borderId="12" xfId="0" applyNumberFormat="1" applyBorder="1"/>
    <xf numFmtId="0" fontId="0" fillId="0" borderId="0" xfId="0" applyFont="1"/>
    <xf numFmtId="0" fontId="1" fillId="0" borderId="0" xfId="0" applyFont="1"/>
    <xf numFmtId="0" fontId="3" fillId="0" borderId="0" xfId="0" applyFont="1"/>
    <xf numFmtId="0" fontId="3" fillId="0" borderId="12" xfId="0" applyFont="1" applyBorder="1" applyAlignment="1">
      <alignment horizontal="right" vertical="center" wrapText="1"/>
    </xf>
    <xf numFmtId="0" fontId="3" fillId="0" borderId="12" xfId="0" applyFont="1" applyBorder="1" applyAlignment="1">
      <alignment horizontal="right"/>
    </xf>
    <xf numFmtId="0" fontId="1" fillId="0" borderId="17" xfId="0" applyFont="1" applyBorder="1" applyAlignment="1">
      <alignment horizontal="right" vertical="center" wrapText="1"/>
    </xf>
    <xf numFmtId="16" fontId="3" fillId="0" borderId="12" xfId="0" applyNumberFormat="1" applyFont="1" applyBorder="1" applyAlignment="1">
      <alignment horizontal="right" vertical="center" wrapText="1"/>
    </xf>
    <xf numFmtId="0" fontId="1" fillId="0" borderId="12" xfId="0" applyFont="1" applyBorder="1" applyAlignment="1">
      <alignment horizontal="right" vertical="center" wrapText="1"/>
    </xf>
    <xf numFmtId="0" fontId="9" fillId="0" borderId="12" xfId="0" applyFont="1" applyBorder="1" applyAlignment="1">
      <alignment horizontal="right" vertical="center" wrapText="1"/>
    </xf>
    <xf numFmtId="0" fontId="9" fillId="0" borderId="12" xfId="0" applyFont="1" applyBorder="1" applyAlignment="1">
      <alignment horizontal="right" vertical="center"/>
    </xf>
    <xf numFmtId="0" fontId="10" fillId="0" borderId="12" xfId="0" applyFont="1" applyBorder="1" applyAlignment="1">
      <alignment horizontal="right" vertical="center" wrapText="1"/>
    </xf>
    <xf numFmtId="0" fontId="11" fillId="0" borderId="12" xfId="0" applyFont="1" applyBorder="1"/>
    <xf numFmtId="0" fontId="3" fillId="5" borderId="12" xfId="0" applyFont="1" applyFill="1" applyBorder="1" applyAlignment="1">
      <alignment horizontal="center"/>
    </xf>
    <xf numFmtId="0" fontId="3" fillId="0" borderId="12" xfId="0" applyFont="1" applyBorder="1" applyAlignment="1">
      <alignment horizontal="center"/>
    </xf>
    <xf numFmtId="0" fontId="3" fillId="0" borderId="0" xfId="0" applyFont="1" applyAlignment="1"/>
    <xf numFmtId="0" fontId="3" fillId="0" borderId="0" xfId="0" applyNumberFormat="1" applyFont="1"/>
    <xf numFmtId="0" fontId="3" fillId="0" borderId="0" xfId="0" applyFont="1" applyBorder="1"/>
    <xf numFmtId="0" fontId="3" fillId="0" borderId="0" xfId="0" applyNumberFormat="1" applyFont="1" applyBorder="1"/>
    <xf numFmtId="0" fontId="3" fillId="0" borderId="12" xfId="0" applyFont="1" applyBorder="1" applyAlignment="1">
      <alignment horizontal="justify" vertical="center" wrapText="1"/>
    </xf>
    <xf numFmtId="0" fontId="1" fillId="0" borderId="12" xfId="0" applyFont="1" applyBorder="1"/>
    <xf numFmtId="0" fontId="0" fillId="0" borderId="0" xfId="0" applyFont="1" applyFill="1"/>
    <xf numFmtId="0" fontId="0" fillId="9" borderId="12" xfId="0" applyFont="1" applyFill="1" applyBorder="1" applyAlignment="1">
      <alignment horizontal="justify" vertical="center" wrapText="1"/>
    </xf>
    <xf numFmtId="1" fontId="0" fillId="9" borderId="12" xfId="0" applyNumberFormat="1" applyFont="1" applyFill="1" applyBorder="1" applyAlignment="1">
      <alignment horizontal="justify" vertical="center" wrapText="1"/>
    </xf>
    <xf numFmtId="165" fontId="0" fillId="9" borderId="12" xfId="0" applyNumberFormat="1" applyFont="1" applyFill="1" applyBorder="1" applyAlignment="1">
      <alignment horizontal="justify" vertical="center" wrapText="1"/>
    </xf>
    <xf numFmtId="1" fontId="0" fillId="0" borderId="12" xfId="0" applyNumberFormat="1" applyFont="1" applyFill="1" applyBorder="1" applyAlignment="1">
      <alignment horizontal="justify" vertical="center" wrapText="1"/>
    </xf>
    <xf numFmtId="165" fontId="0" fillId="0" borderId="12" xfId="0" applyNumberFormat="1" applyFont="1" applyFill="1" applyBorder="1" applyAlignment="1">
      <alignment horizontal="justify" vertical="center" wrapText="1"/>
    </xf>
    <xf numFmtId="0" fontId="0" fillId="0" borderId="0" xfId="0" applyFont="1" applyBorder="1" applyAlignment="1">
      <alignment horizontal="justify" vertical="center" wrapText="1"/>
    </xf>
    <xf numFmtId="2" fontId="0" fillId="9" borderId="12" xfId="0" applyNumberFormat="1" applyFont="1" applyFill="1" applyBorder="1" applyAlignment="1">
      <alignment horizontal="justify" vertical="center" wrapText="1"/>
    </xf>
    <xf numFmtId="1" fontId="0" fillId="0" borderId="0" xfId="0" applyNumberFormat="1" applyFont="1" applyBorder="1" applyAlignment="1">
      <alignment horizontal="justify" vertical="center" wrapText="1"/>
    </xf>
    <xf numFmtId="1" fontId="0" fillId="0" borderId="0" xfId="0" applyNumberFormat="1" applyFont="1" applyFill="1" applyBorder="1" applyAlignment="1">
      <alignment horizontal="justify" vertical="center" wrapText="1"/>
    </xf>
    <xf numFmtId="165" fontId="0" fillId="0" borderId="0" xfId="0" applyNumberFormat="1" applyFont="1" applyFill="1" applyBorder="1" applyAlignment="1">
      <alignment horizontal="justify" vertical="center" wrapText="1"/>
    </xf>
    <xf numFmtId="0" fontId="0" fillId="5" borderId="12" xfId="0" applyFont="1" applyFill="1" applyBorder="1"/>
    <xf numFmtId="0" fontId="0" fillId="0" borderId="0" xfId="0" applyFont="1" applyBorder="1"/>
    <xf numFmtId="1" fontId="0" fillId="0" borderId="0" xfId="0" applyNumberFormat="1" applyFont="1" applyBorder="1"/>
    <xf numFmtId="2" fontId="0" fillId="0" borderId="12" xfId="0" applyNumberFormat="1" applyFont="1" applyBorder="1"/>
    <xf numFmtId="165" fontId="0" fillId="0" borderId="12" xfId="0" applyNumberFormat="1" applyFont="1" applyBorder="1"/>
    <xf numFmtId="0" fontId="16" fillId="0" borderId="0" xfId="0" applyFont="1" applyFill="1" applyBorder="1" applyAlignment="1">
      <alignment horizontal="left" wrapText="1"/>
    </xf>
    <xf numFmtId="0" fontId="16" fillId="0" borderId="0" xfId="0" applyFont="1" applyFill="1" applyBorder="1" applyAlignment="1">
      <alignment horizontal="center" wrapText="1"/>
    </xf>
    <xf numFmtId="0" fontId="1" fillId="0" borderId="0" xfId="0" applyFont="1" applyFill="1" applyBorder="1" applyAlignment="1">
      <alignment wrapText="1"/>
    </xf>
    <xf numFmtId="0" fontId="1" fillId="0" borderId="0" xfId="0" applyFont="1" applyFill="1" applyAlignment="1">
      <alignment horizontal="center"/>
    </xf>
    <xf numFmtId="0" fontId="1" fillId="0" borderId="0" xfId="0" applyFont="1" applyFill="1" applyAlignment="1"/>
    <xf numFmtId="0" fontId="1" fillId="0" borderId="0" xfId="0" applyFont="1" applyFill="1" applyBorder="1" applyAlignment="1">
      <alignment horizontal="center"/>
    </xf>
    <xf numFmtId="0" fontId="0" fillId="0" borderId="31" xfId="0" applyFont="1" applyBorder="1" applyAlignment="1">
      <alignment horizontal="justify" vertical="center" wrapText="1"/>
    </xf>
    <xf numFmtId="49" fontId="0" fillId="0" borderId="1" xfId="0" applyNumberFormat="1" applyFont="1" applyBorder="1"/>
    <xf numFmtId="49" fontId="0" fillId="0" borderId="5" xfId="0" applyNumberFormat="1" applyFont="1" applyBorder="1"/>
    <xf numFmtId="49" fontId="0" fillId="0" borderId="3" xfId="0" applyNumberFormat="1" applyFont="1" applyBorder="1"/>
    <xf numFmtId="49" fontId="0" fillId="0" borderId="0" xfId="0" applyNumberFormat="1" applyFont="1" applyBorder="1"/>
    <xf numFmtId="0" fontId="0" fillId="0" borderId="0" xfId="0" applyNumberFormat="1" applyFont="1" applyBorder="1"/>
    <xf numFmtId="49" fontId="0" fillId="0" borderId="0" xfId="0" applyNumberFormat="1" applyFont="1"/>
    <xf numFmtId="0" fontId="0" fillId="0" borderId="1" xfId="0" applyNumberFormat="1" applyFont="1" applyBorder="1"/>
    <xf numFmtId="0" fontId="0" fillId="0" borderId="3" xfId="0" applyNumberFormat="1" applyFont="1" applyBorder="1"/>
    <xf numFmtId="49" fontId="0" fillId="0" borderId="4" xfId="0" applyNumberFormat="1" applyFont="1" applyBorder="1"/>
    <xf numFmtId="49" fontId="0" fillId="0" borderId="2" xfId="0" applyNumberFormat="1" applyFont="1" applyBorder="1"/>
    <xf numFmtId="49" fontId="0" fillId="0" borderId="0" xfId="0" applyNumberFormat="1" applyFont="1" applyAlignment="1">
      <alignment horizontal="left"/>
    </xf>
    <xf numFmtId="0" fontId="13" fillId="0" borderId="0" xfId="0" applyFont="1" applyAlignment="1"/>
    <xf numFmtId="0" fontId="17" fillId="0" borderId="0" xfId="1" applyFont="1" applyAlignment="1" applyProtection="1">
      <alignment horizontal="left"/>
    </xf>
    <xf numFmtId="0" fontId="18" fillId="0" borderId="0" xfId="0" applyFont="1"/>
    <xf numFmtId="49" fontId="0" fillId="0" borderId="12" xfId="0" applyNumberFormat="1" applyFont="1" applyBorder="1"/>
    <xf numFmtId="49" fontId="18" fillId="0" borderId="12" xfId="0" applyNumberFormat="1" applyFont="1" applyBorder="1"/>
    <xf numFmtId="0" fontId="0" fillId="0" borderId="27" xfId="0" applyNumberFormat="1" applyFont="1" applyBorder="1"/>
    <xf numFmtId="49" fontId="0" fillId="0" borderId="28" xfId="0" applyNumberFormat="1" applyFont="1" applyBorder="1"/>
    <xf numFmtId="49" fontId="0" fillId="0" borderId="29" xfId="0" applyNumberFormat="1" applyFont="1" applyBorder="1"/>
    <xf numFmtId="0" fontId="0" fillId="0" borderId="30" xfId="0" applyNumberFormat="1" applyFont="1" applyBorder="1"/>
    <xf numFmtId="49" fontId="0" fillId="0" borderId="31" xfId="0" applyNumberFormat="1" applyFont="1" applyBorder="1"/>
    <xf numFmtId="0" fontId="0" fillId="3" borderId="12" xfId="0" applyFont="1" applyFill="1" applyBorder="1" applyAlignment="1">
      <alignment horizontal="center" wrapText="1"/>
    </xf>
    <xf numFmtId="0" fontId="0" fillId="3" borderId="30" xfId="0" applyFont="1" applyFill="1" applyBorder="1" applyAlignment="1">
      <alignment horizontal="left" wrapText="1"/>
    </xf>
    <xf numFmtId="0" fontId="0" fillId="3" borderId="31" xfId="0" applyFont="1" applyFill="1" applyBorder="1" applyAlignment="1">
      <alignment horizontal="center" wrapText="1"/>
    </xf>
    <xf numFmtId="0" fontId="0" fillId="3" borderId="27" xfId="0" applyFont="1" applyFill="1" applyBorder="1" applyAlignment="1">
      <alignment horizontal="left" wrapText="1"/>
    </xf>
    <xf numFmtId="0" fontId="0" fillId="3" borderId="28" xfId="0" applyFont="1" applyFill="1" applyBorder="1" applyAlignment="1">
      <alignment horizontal="center" wrapText="1"/>
    </xf>
    <xf numFmtId="0" fontId="0" fillId="3" borderId="29" xfId="0" applyFont="1" applyFill="1" applyBorder="1" applyAlignment="1">
      <alignment horizontal="center" wrapText="1"/>
    </xf>
    <xf numFmtId="49" fontId="0" fillId="0" borderId="12" xfId="0" applyNumberFormat="1" applyFont="1" applyBorder="1" applyAlignment="1">
      <alignment wrapText="1"/>
    </xf>
    <xf numFmtId="49" fontId="19" fillId="0" borderId="12" xfId="0" applyNumberFormat="1" applyFont="1" applyBorder="1"/>
    <xf numFmtId="49" fontId="0" fillId="0" borderId="12" xfId="0" applyNumberFormat="1" applyFont="1" applyBorder="1" applyAlignment="1">
      <alignment horizontal="left"/>
    </xf>
    <xf numFmtId="0" fontId="3" fillId="0" borderId="30" xfId="0" applyFont="1" applyFill="1" applyBorder="1"/>
    <xf numFmtId="0" fontId="3" fillId="0" borderId="31" xfId="0" applyNumberFormat="1" applyFont="1" applyFill="1" applyBorder="1"/>
    <xf numFmtId="0" fontId="1" fillId="0" borderId="30" xfId="0" applyFont="1" applyFill="1" applyBorder="1"/>
    <xf numFmtId="0" fontId="1" fillId="0" borderId="27" xfId="0" applyFont="1" applyFill="1" applyBorder="1"/>
    <xf numFmtId="0" fontId="1" fillId="0" borderId="28" xfId="0" applyFont="1" applyFill="1" applyBorder="1"/>
    <xf numFmtId="1" fontId="1" fillId="0" borderId="28" xfId="0" applyNumberFormat="1" applyFont="1" applyFill="1" applyBorder="1"/>
    <xf numFmtId="0" fontId="0" fillId="0" borderId="0" xfId="0" applyFont="1" applyBorder="1" applyAlignment="1">
      <alignment horizontal="center"/>
    </xf>
    <xf numFmtId="0" fontId="0" fillId="0" borderId="30" xfId="0" applyBorder="1"/>
    <xf numFmtId="0" fontId="0" fillId="0" borderId="31" xfId="0" applyBorder="1"/>
    <xf numFmtId="0" fontId="0" fillId="0" borderId="27" xfId="0" applyBorder="1"/>
    <xf numFmtId="0" fontId="0" fillId="0" borderId="28" xfId="0" applyBorder="1"/>
    <xf numFmtId="0" fontId="0" fillId="0" borderId="29" xfId="0" applyBorder="1"/>
    <xf numFmtId="0" fontId="3" fillId="0" borderId="30" xfId="0" applyFont="1" applyBorder="1" applyAlignment="1">
      <alignment vertical="center" wrapText="1"/>
    </xf>
    <xf numFmtId="1" fontId="3" fillId="0" borderId="31" xfId="0" applyNumberFormat="1" applyFont="1" applyBorder="1" applyAlignment="1">
      <alignment horizontal="right" vertical="center" wrapText="1"/>
    </xf>
    <xf numFmtId="0" fontId="3" fillId="0" borderId="8" xfId="0" applyFont="1" applyBorder="1" applyAlignment="1">
      <alignment vertical="center" wrapText="1"/>
    </xf>
    <xf numFmtId="1" fontId="3" fillId="0" borderId="31" xfId="0" applyNumberFormat="1" applyFont="1" applyBorder="1" applyAlignment="1">
      <alignment horizontal="right"/>
    </xf>
    <xf numFmtId="0" fontId="1" fillId="0" borderId="30" xfId="0" applyFont="1" applyBorder="1" applyAlignment="1">
      <alignment vertical="center" wrapText="1"/>
    </xf>
    <xf numFmtId="0" fontId="3" fillId="0" borderId="0" xfId="0" applyFont="1" applyBorder="1" applyAlignment="1">
      <alignment horizontal="right"/>
    </xf>
    <xf numFmtId="0" fontId="3" fillId="0" borderId="30" xfId="0" applyFont="1" applyBorder="1"/>
    <xf numFmtId="0" fontId="1" fillId="0" borderId="27" xfId="0" applyFont="1" applyBorder="1" applyAlignment="1">
      <alignment vertical="center" wrapText="1"/>
    </xf>
    <xf numFmtId="0" fontId="1" fillId="0" borderId="28" xfId="0" applyFont="1" applyBorder="1" applyAlignment="1">
      <alignment horizontal="right" vertical="center" wrapText="1"/>
    </xf>
    <xf numFmtId="1" fontId="1" fillId="0" borderId="29" xfId="0" applyNumberFormat="1" applyFont="1" applyBorder="1" applyAlignment="1">
      <alignment horizontal="right" vertical="center" wrapText="1"/>
    </xf>
    <xf numFmtId="0" fontId="9" fillId="0" borderId="30" xfId="0" applyFont="1" applyBorder="1" applyAlignment="1">
      <alignment horizontal="justify" vertical="center" wrapText="1"/>
    </xf>
    <xf numFmtId="0" fontId="10" fillId="0" borderId="30" xfId="0" applyFont="1" applyBorder="1" applyAlignment="1">
      <alignment horizontal="justify" vertical="center" wrapText="1"/>
    </xf>
    <xf numFmtId="0" fontId="9" fillId="0" borderId="31" xfId="0" applyFont="1" applyBorder="1" applyAlignment="1">
      <alignment horizontal="right" vertical="center" wrapText="1"/>
    </xf>
    <xf numFmtId="0" fontId="9" fillId="0" borderId="30" xfId="0" applyFont="1" applyBorder="1" applyAlignment="1">
      <alignment horizontal="justify" vertical="center"/>
    </xf>
    <xf numFmtId="0" fontId="10" fillId="0" borderId="27" xfId="0" applyFont="1" applyBorder="1" applyAlignment="1">
      <alignment horizontal="justify" vertical="center" wrapText="1"/>
    </xf>
    <xf numFmtId="0" fontId="10" fillId="0" borderId="28" xfId="0" applyFont="1" applyBorder="1" applyAlignment="1">
      <alignment horizontal="right" vertical="center" wrapText="1"/>
    </xf>
    <xf numFmtId="0" fontId="3" fillId="4" borderId="12" xfId="0" applyFont="1" applyFill="1" applyBorder="1" applyAlignment="1">
      <alignment horizontal="justify" vertical="center" wrapText="1"/>
    </xf>
    <xf numFmtId="0" fontId="5" fillId="0" borderId="30" xfId="0" applyFont="1" applyBorder="1" applyAlignment="1">
      <alignment horizontal="justify" vertical="center" wrapText="1"/>
    </xf>
    <xf numFmtId="0" fontId="5" fillId="0" borderId="27" xfId="0" applyFont="1" applyBorder="1" applyAlignment="1">
      <alignment horizontal="justify" vertical="center" wrapText="1"/>
    </xf>
    <xf numFmtId="0" fontId="3" fillId="0" borderId="28" xfId="0" applyFont="1" applyBorder="1" applyAlignment="1">
      <alignment horizontal="justify" vertical="center" wrapText="1"/>
    </xf>
    <xf numFmtId="0" fontId="3" fillId="4" borderId="28" xfId="0" applyFont="1" applyFill="1" applyBorder="1" applyAlignment="1">
      <alignment horizontal="justify" vertical="center" wrapText="1"/>
    </xf>
    <xf numFmtId="0" fontId="0" fillId="0" borderId="27" xfId="0" applyFill="1" applyBorder="1" applyAlignment="1">
      <alignment wrapText="1"/>
    </xf>
    <xf numFmtId="0" fontId="0" fillId="0" borderId="0" xfId="0" applyFill="1"/>
    <xf numFmtId="0" fontId="0" fillId="0" borderId="12" xfId="0" applyFont="1" applyBorder="1" applyAlignment="1">
      <alignment horizontal="justify" vertical="center" wrapText="1"/>
    </xf>
    <xf numFmtId="0" fontId="0" fillId="0" borderId="31" xfId="0" applyFont="1" applyBorder="1" applyAlignment="1">
      <alignment horizontal="justify" vertical="center" wrapText="1"/>
    </xf>
    <xf numFmtId="0" fontId="0" fillId="0" borderId="30" xfId="0" applyFont="1" applyBorder="1" applyAlignment="1">
      <alignment horizontal="justify" vertical="center" wrapText="1"/>
    </xf>
    <xf numFmtId="0" fontId="0" fillId="0" borderId="27" xfId="0" applyFont="1" applyBorder="1" applyAlignment="1">
      <alignment horizontal="justify" vertical="center" wrapText="1"/>
    </xf>
    <xf numFmtId="0" fontId="0" fillId="0" borderId="28" xfId="0" applyFont="1" applyBorder="1" applyAlignment="1">
      <alignment horizontal="justify" vertical="center" wrapText="1"/>
    </xf>
    <xf numFmtId="0" fontId="0" fillId="0" borderId="29" xfId="0" applyFont="1" applyBorder="1" applyAlignment="1">
      <alignment horizontal="justify" vertical="center" wrapText="1"/>
    </xf>
    <xf numFmtId="0" fontId="1" fillId="0" borderId="12" xfId="0" applyFont="1" applyBorder="1" applyAlignment="1">
      <alignment vertical="center" wrapText="1"/>
    </xf>
    <xf numFmtId="0" fontId="1" fillId="0" borderId="30" xfId="0" applyFont="1" applyFill="1" applyBorder="1" applyAlignment="1">
      <alignment vertical="center" wrapText="1"/>
    </xf>
    <xf numFmtId="0" fontId="3" fillId="0" borderId="27" xfId="0" applyFont="1" applyBorder="1"/>
    <xf numFmtId="1" fontId="0" fillId="0" borderId="14" xfId="0" applyNumberFormat="1" applyFont="1" applyBorder="1"/>
    <xf numFmtId="0" fontId="0" fillId="12" borderId="12" xfId="0" applyFont="1" applyFill="1" applyBorder="1" applyAlignment="1">
      <alignment horizontal="left"/>
    </xf>
    <xf numFmtId="0" fontId="0" fillId="13" borderId="12" xfId="0" applyFont="1" applyFill="1" applyBorder="1" applyAlignment="1">
      <alignment horizontal="left"/>
    </xf>
    <xf numFmtId="0" fontId="0" fillId="0" borderId="12" xfId="0" applyFont="1" applyBorder="1" applyAlignment="1">
      <alignment horizontal="left"/>
    </xf>
    <xf numFmtId="0" fontId="0" fillId="2" borderId="18" xfId="0" applyFont="1" applyFill="1" applyBorder="1"/>
    <xf numFmtId="0" fontId="0" fillId="2" borderId="15" xfId="0" applyFont="1" applyFill="1" applyBorder="1"/>
    <xf numFmtId="0" fontId="0" fillId="2" borderId="12" xfId="0" applyFont="1" applyFill="1" applyBorder="1" applyAlignment="1">
      <alignment horizontal="left"/>
    </xf>
    <xf numFmtId="0" fontId="0" fillId="9" borderId="14" xfId="0" applyFont="1" applyFill="1" applyBorder="1" applyAlignment="1">
      <alignment horizontal="left"/>
    </xf>
    <xf numFmtId="0" fontId="0" fillId="9" borderId="15" xfId="0" applyFont="1" applyFill="1" applyBorder="1" applyAlignment="1">
      <alignment horizontal="left"/>
    </xf>
    <xf numFmtId="0" fontId="0" fillId="9" borderId="16" xfId="0" applyFont="1" applyFill="1" applyBorder="1" applyAlignment="1">
      <alignment horizontal="left"/>
    </xf>
    <xf numFmtId="0" fontId="0" fillId="9" borderId="12" xfId="0" applyFont="1" applyFill="1" applyBorder="1" applyAlignment="1">
      <alignment horizontal="left"/>
    </xf>
    <xf numFmtId="0" fontId="0" fillId="0" borderId="14" xfId="0" applyFont="1" applyBorder="1"/>
    <xf numFmtId="0" fontId="0" fillId="5" borderId="14" xfId="0" applyFont="1" applyFill="1" applyBorder="1" applyAlignment="1">
      <alignment horizontal="left"/>
    </xf>
    <xf numFmtId="0" fontId="0" fillId="5" borderId="15" xfId="0" applyFont="1" applyFill="1" applyBorder="1" applyAlignment="1">
      <alignment horizontal="left"/>
    </xf>
    <xf numFmtId="0" fontId="0" fillId="5" borderId="16" xfId="0" applyFont="1" applyFill="1" applyBorder="1" applyAlignment="1">
      <alignment horizontal="left"/>
    </xf>
    <xf numFmtId="0" fontId="0" fillId="5" borderId="12" xfId="0" applyFont="1" applyFill="1" applyBorder="1" applyAlignment="1">
      <alignment horizontal="left"/>
    </xf>
    <xf numFmtId="0" fontId="4" fillId="14" borderId="14" xfId="0" applyFont="1" applyFill="1" applyBorder="1" applyAlignment="1">
      <alignment horizontal="left"/>
    </xf>
    <xf numFmtId="0" fontId="4" fillId="14" borderId="15" xfId="0" applyFont="1" applyFill="1" applyBorder="1" applyAlignment="1">
      <alignment horizontal="left"/>
    </xf>
    <xf numFmtId="0" fontId="4" fillId="14" borderId="16" xfId="0" applyFont="1" applyFill="1" applyBorder="1" applyAlignment="1">
      <alignment horizontal="left"/>
    </xf>
    <xf numFmtId="0" fontId="4" fillId="14" borderId="12" xfId="0" applyFont="1" applyFill="1" applyBorder="1" applyAlignment="1">
      <alignment horizontal="left"/>
    </xf>
    <xf numFmtId="0" fontId="0" fillId="15" borderId="14" xfId="0" applyFont="1" applyFill="1" applyBorder="1" applyAlignment="1">
      <alignment horizontal="left"/>
    </xf>
    <xf numFmtId="0" fontId="0" fillId="15" borderId="15" xfId="0" applyFont="1" applyFill="1" applyBorder="1" applyAlignment="1">
      <alignment horizontal="left"/>
    </xf>
    <xf numFmtId="0" fontId="0" fillId="15" borderId="16" xfId="0" applyFont="1" applyFill="1" applyBorder="1" applyAlignment="1">
      <alignment horizontal="left"/>
    </xf>
    <xf numFmtId="0" fontId="0" fillId="15" borderId="12" xfId="0" applyFont="1" applyFill="1" applyBorder="1" applyAlignment="1">
      <alignment horizontal="left"/>
    </xf>
    <xf numFmtId="0" fontId="20" fillId="0" borderId="0" xfId="0" applyFont="1"/>
    <xf numFmtId="0" fontId="20" fillId="0" borderId="12" xfId="0" applyFont="1" applyBorder="1"/>
    <xf numFmtId="0" fontId="1" fillId="0" borderId="17" xfId="0" applyFont="1" applyBorder="1"/>
    <xf numFmtId="0" fontId="0" fillId="16" borderId="17" xfId="0" applyFont="1" applyFill="1" applyBorder="1"/>
    <xf numFmtId="0" fontId="21" fillId="16" borderId="17" xfId="0" applyFont="1" applyFill="1" applyBorder="1"/>
    <xf numFmtId="0" fontId="0" fillId="16" borderId="22" xfId="0" applyFont="1" applyFill="1" applyBorder="1"/>
    <xf numFmtId="0" fontId="1" fillId="6" borderId="34" xfId="0" applyFont="1" applyFill="1" applyBorder="1"/>
    <xf numFmtId="0" fontId="21" fillId="0" borderId="16" xfId="0" applyFont="1" applyBorder="1"/>
    <xf numFmtId="0" fontId="21" fillId="0" borderId="12" xfId="0" applyFont="1" applyBorder="1"/>
    <xf numFmtId="0" fontId="0" fillId="17" borderId="0" xfId="0" applyFont="1" applyFill="1"/>
    <xf numFmtId="0" fontId="8" fillId="0" borderId="0" xfId="0" applyFont="1" applyBorder="1"/>
    <xf numFmtId="0" fontId="0" fillId="0" borderId="19" xfId="0" applyFont="1" applyBorder="1"/>
    <xf numFmtId="0" fontId="0" fillId="16" borderId="30" xfId="0" applyFont="1" applyFill="1" applyBorder="1"/>
    <xf numFmtId="0" fontId="0" fillId="12" borderId="12" xfId="0" applyFont="1" applyFill="1" applyBorder="1" applyAlignment="1">
      <alignment horizontal="center"/>
    </xf>
    <xf numFmtId="0" fontId="0" fillId="5" borderId="12" xfId="0" applyFont="1" applyFill="1" applyBorder="1" applyAlignment="1">
      <alignment horizontal="center"/>
    </xf>
    <xf numFmtId="0" fontId="0" fillId="0" borderId="12" xfId="0" applyFont="1" applyBorder="1" applyAlignment="1">
      <alignment horizontal="center"/>
    </xf>
    <xf numFmtId="0" fontId="0" fillId="9" borderId="12" xfId="0" applyFont="1" applyFill="1" applyBorder="1" applyAlignment="1">
      <alignment horizontal="center"/>
    </xf>
    <xf numFmtId="0" fontId="0" fillId="13" borderId="12" xfId="0" applyFont="1" applyFill="1" applyBorder="1" applyAlignment="1">
      <alignment horizontal="center"/>
    </xf>
    <xf numFmtId="0" fontId="0" fillId="15" borderId="12" xfId="0" applyFont="1" applyFill="1" applyBorder="1" applyAlignment="1">
      <alignment horizontal="center"/>
    </xf>
    <xf numFmtId="0" fontId="0" fillId="3" borderId="12" xfId="0" applyFont="1" applyFill="1" applyBorder="1" applyAlignment="1">
      <alignment horizontal="center"/>
    </xf>
    <xf numFmtId="0" fontId="0" fillId="16" borderId="31" xfId="0" applyFont="1" applyFill="1" applyBorder="1"/>
    <xf numFmtId="0" fontId="0" fillId="0" borderId="0" xfId="0" applyFont="1" applyAlignment="1">
      <alignment horizontal="center"/>
    </xf>
    <xf numFmtId="0" fontId="0" fillId="9" borderId="0" xfId="0" applyFont="1" applyFill="1" applyBorder="1" applyAlignment="1">
      <alignment horizontal="center"/>
    </xf>
    <xf numFmtId="0" fontId="0" fillId="13" borderId="0" xfId="0" applyFont="1" applyFill="1" applyAlignment="1">
      <alignment horizontal="center"/>
    </xf>
    <xf numFmtId="0" fontId="0" fillId="12" borderId="0" xfId="0" applyFont="1" applyFill="1" applyAlignment="1">
      <alignment horizontal="center"/>
    </xf>
    <xf numFmtId="0" fontId="0" fillId="5" borderId="37" xfId="0" applyFont="1" applyFill="1" applyBorder="1" applyAlignment="1">
      <alignment horizontal="center"/>
    </xf>
    <xf numFmtId="0" fontId="0" fillId="7" borderId="12" xfId="0" applyFont="1" applyFill="1" applyBorder="1" applyAlignment="1">
      <alignment horizontal="center"/>
    </xf>
    <xf numFmtId="0" fontId="0" fillId="2" borderId="12" xfId="0" applyFont="1" applyFill="1" applyBorder="1" applyAlignment="1">
      <alignment horizontal="center"/>
    </xf>
    <xf numFmtId="0" fontId="0" fillId="5" borderId="23" xfId="0" applyFont="1" applyFill="1" applyBorder="1" applyAlignment="1">
      <alignment horizontal="center"/>
    </xf>
    <xf numFmtId="0" fontId="0" fillId="5" borderId="23" xfId="0" applyFont="1" applyFill="1" applyBorder="1"/>
    <xf numFmtId="0" fontId="0" fillId="0" borderId="11" xfId="0" applyFont="1" applyBorder="1"/>
    <xf numFmtId="0" fontId="0" fillId="16" borderId="38" xfId="0" applyFont="1" applyFill="1" applyBorder="1"/>
    <xf numFmtId="0" fontId="0" fillId="12" borderId="21" xfId="0" applyFont="1" applyFill="1" applyBorder="1" applyAlignment="1">
      <alignment horizontal="center"/>
    </xf>
    <xf numFmtId="0" fontId="0" fillId="5" borderId="11" xfId="0" applyFont="1" applyFill="1" applyBorder="1" applyAlignment="1">
      <alignment horizontal="center"/>
    </xf>
    <xf numFmtId="0" fontId="0" fillId="0" borderId="13" xfId="0" applyFont="1" applyBorder="1" applyAlignment="1">
      <alignment horizontal="center"/>
    </xf>
    <xf numFmtId="0" fontId="0" fillId="12" borderId="9" xfId="0" applyFont="1" applyFill="1" applyBorder="1" applyAlignment="1">
      <alignment horizontal="center"/>
    </xf>
    <xf numFmtId="0" fontId="0" fillId="16" borderId="39" xfId="0" applyFont="1" applyFill="1" applyBorder="1"/>
    <xf numFmtId="0" fontId="0" fillId="3" borderId="0" xfId="0" applyFont="1" applyFill="1"/>
    <xf numFmtId="0" fontId="0" fillId="3" borderId="11" xfId="0" applyFont="1" applyFill="1" applyBorder="1"/>
    <xf numFmtId="0" fontId="0" fillId="3" borderId="12" xfId="0" applyFont="1" applyFill="1" applyBorder="1"/>
    <xf numFmtId="0" fontId="0" fillId="3" borderId="13" xfId="0" applyFont="1" applyFill="1" applyBorder="1" applyAlignment="1">
      <alignment horizontal="center"/>
    </xf>
    <xf numFmtId="0" fontId="0" fillId="3" borderId="17" xfId="0" applyFont="1" applyFill="1" applyBorder="1" applyAlignment="1">
      <alignment horizontal="center"/>
    </xf>
    <xf numFmtId="0" fontId="0" fillId="3" borderId="13" xfId="0" applyFont="1" applyFill="1" applyBorder="1"/>
    <xf numFmtId="0" fontId="0" fillId="3" borderId="9" xfId="0" applyFont="1" applyFill="1" applyBorder="1" applyAlignment="1">
      <alignment horizontal="center"/>
    </xf>
    <xf numFmtId="0" fontId="0" fillId="3" borderId="10" xfId="0" applyFont="1" applyFill="1" applyBorder="1" applyAlignment="1">
      <alignment horizontal="center"/>
    </xf>
    <xf numFmtId="0" fontId="0" fillId="3" borderId="0" xfId="0" applyFont="1" applyFill="1" applyAlignment="1">
      <alignment horizontal="center"/>
    </xf>
    <xf numFmtId="0" fontId="0" fillId="3" borderId="0" xfId="0" applyFont="1" applyFill="1" applyBorder="1" applyAlignment="1">
      <alignment horizontal="center"/>
    </xf>
    <xf numFmtId="0" fontId="0" fillId="3" borderId="23" xfId="0" applyFont="1" applyFill="1" applyBorder="1"/>
    <xf numFmtId="0" fontId="1" fillId="6" borderId="12" xfId="0" applyFont="1" applyFill="1" applyBorder="1"/>
    <xf numFmtId="0" fontId="1" fillId="6" borderId="17" xfId="0" applyFont="1" applyFill="1" applyBorder="1"/>
    <xf numFmtId="0" fontId="1" fillId="6" borderId="17" xfId="0" applyFont="1" applyFill="1" applyBorder="1" applyAlignment="1">
      <alignment horizontal="center"/>
    </xf>
    <xf numFmtId="0" fontId="1" fillId="6" borderId="16" xfId="0" applyFont="1" applyFill="1" applyBorder="1" applyAlignment="1">
      <alignment horizontal="center"/>
    </xf>
    <xf numFmtId="0" fontId="1" fillId="6" borderId="12" xfId="0" applyFont="1" applyFill="1" applyBorder="1" applyAlignment="1">
      <alignment horizontal="center"/>
    </xf>
    <xf numFmtId="0" fontId="0" fillId="14" borderId="12" xfId="0" applyFont="1" applyFill="1" applyBorder="1" applyAlignment="1">
      <alignment horizontal="center"/>
    </xf>
    <xf numFmtId="0" fontId="1" fillId="17" borderId="12" xfId="0" applyFont="1" applyFill="1" applyBorder="1"/>
    <xf numFmtId="0" fontId="0" fillId="6" borderId="12" xfId="0" applyFont="1" applyFill="1" applyBorder="1" applyAlignment="1">
      <alignment horizontal="center"/>
    </xf>
    <xf numFmtId="0" fontId="0" fillId="0" borderId="17" xfId="0" applyFont="1" applyBorder="1"/>
    <xf numFmtId="0" fontId="0" fillId="6" borderId="0" xfId="0" applyFont="1" applyFill="1" applyAlignment="1">
      <alignment horizontal="center"/>
    </xf>
    <xf numFmtId="0" fontId="0" fillId="5" borderId="17" xfId="0" applyFont="1" applyFill="1" applyBorder="1" applyAlignment="1">
      <alignment horizontal="center"/>
    </xf>
    <xf numFmtId="0" fontId="0" fillId="5" borderId="17" xfId="0" applyFont="1" applyFill="1" applyBorder="1"/>
    <xf numFmtId="0" fontId="0" fillId="0" borderId="16" xfId="0" applyFont="1" applyBorder="1"/>
    <xf numFmtId="0" fontId="0" fillId="0" borderId="15" xfId="0" applyFont="1" applyBorder="1"/>
    <xf numFmtId="0" fontId="1" fillId="8" borderId="12" xfId="0" applyFont="1" applyFill="1" applyBorder="1"/>
    <xf numFmtId="0" fontId="1" fillId="8" borderId="24" xfId="0" applyFont="1" applyFill="1" applyBorder="1"/>
    <xf numFmtId="0" fontId="1" fillId="8" borderId="31" xfId="0" applyFont="1" applyFill="1" applyBorder="1"/>
    <xf numFmtId="0" fontId="1" fillId="8" borderId="24" xfId="0" applyFont="1" applyFill="1" applyBorder="1" applyAlignment="1">
      <alignment horizontal="justify" vertical="center" wrapText="1"/>
    </xf>
    <xf numFmtId="0" fontId="1" fillId="8" borderId="25"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1" fillId="8" borderId="30" xfId="0" applyFont="1" applyFill="1" applyBorder="1" applyAlignment="1">
      <alignment horizontal="justify" vertical="center" wrapText="1"/>
    </xf>
    <xf numFmtId="0" fontId="1" fillId="8" borderId="31"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25" xfId="0" applyFont="1" applyFill="1" applyBorder="1"/>
    <xf numFmtId="0" fontId="1" fillId="8" borderId="26" xfId="0" applyFont="1" applyFill="1" applyBorder="1"/>
    <xf numFmtId="0" fontId="1" fillId="8" borderId="12" xfId="0" applyFont="1" applyFill="1" applyBorder="1" applyAlignment="1">
      <alignment horizontal="center" wrapText="1"/>
    </xf>
    <xf numFmtId="0" fontId="1" fillId="8" borderId="31" xfId="0" applyFont="1" applyFill="1" applyBorder="1" applyAlignment="1">
      <alignment horizontal="center" wrapText="1"/>
    </xf>
    <xf numFmtId="0" fontId="1" fillId="8" borderId="12" xfId="0" applyFont="1" applyFill="1" applyBorder="1" applyAlignment="1">
      <alignment horizontal="center" wrapText="1"/>
    </xf>
    <xf numFmtId="49" fontId="1" fillId="8" borderId="12" xfId="0" applyNumberFormat="1" applyFont="1" applyFill="1" applyBorder="1"/>
    <xf numFmtId="49" fontId="1" fillId="8" borderId="31" xfId="0" applyNumberFormat="1" applyFont="1" applyFill="1" applyBorder="1"/>
    <xf numFmtId="0" fontId="1" fillId="8" borderId="30" xfId="0" applyFont="1" applyFill="1" applyBorder="1"/>
    <xf numFmtId="0" fontId="0" fillId="0" borderId="28" xfId="0" applyFont="1" applyBorder="1" applyAlignment="1">
      <alignment horizontal="justify" vertical="center" wrapText="1"/>
    </xf>
    <xf numFmtId="0" fontId="1" fillId="8" borderId="25" xfId="0" applyFont="1" applyFill="1" applyBorder="1"/>
    <xf numFmtId="0" fontId="1" fillId="8" borderId="26" xfId="0" applyFont="1" applyFill="1" applyBorder="1"/>
    <xf numFmtId="0" fontId="0" fillId="0" borderId="12" xfId="0" applyFont="1" applyFill="1" applyBorder="1" applyAlignment="1">
      <alignment horizontal="justify" vertical="center" wrapText="1"/>
    </xf>
    <xf numFmtId="0" fontId="1" fillId="8" borderId="12" xfId="0" applyFont="1" applyFill="1" applyBorder="1" applyAlignment="1">
      <alignment horizontal="center"/>
    </xf>
    <xf numFmtId="0" fontId="0" fillId="8" borderId="27" xfId="0" applyFill="1" applyBorder="1"/>
    <xf numFmtId="0" fontId="1" fillId="4" borderId="0" xfId="0" applyFont="1" applyFill="1"/>
    <xf numFmtId="0" fontId="1" fillId="8" borderId="24" xfId="0" applyFont="1" applyFill="1" applyBorder="1" applyAlignment="1">
      <alignment vertical="center" wrapText="1"/>
    </xf>
    <xf numFmtId="0" fontId="1" fillId="8" borderId="30" xfId="0" applyFont="1" applyFill="1" applyBorder="1" applyAlignment="1">
      <alignment vertical="center" wrapText="1"/>
    </xf>
    <xf numFmtId="0" fontId="24" fillId="8" borderId="24" xfId="0" applyFont="1" applyFill="1" applyBorder="1" applyAlignment="1">
      <alignment horizontal="justify" vertical="center" wrapText="1"/>
    </xf>
    <xf numFmtId="0" fontId="24" fillId="8" borderId="25"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24" fillId="8" borderId="30" xfId="0" applyFont="1" applyFill="1" applyBorder="1" applyAlignment="1">
      <alignment horizontal="justify" vertical="center" wrapText="1"/>
    </xf>
    <xf numFmtId="0" fontId="24" fillId="8" borderId="12" xfId="0" applyFont="1" applyFill="1" applyBorder="1" applyAlignment="1">
      <alignment horizontal="center" vertical="center" wrapText="1"/>
    </xf>
    <xf numFmtId="0" fontId="24" fillId="8" borderId="31" xfId="0" applyFont="1" applyFill="1" applyBorder="1" applyAlignment="1">
      <alignment horizontal="center" vertical="center" wrapText="1"/>
    </xf>
    <xf numFmtId="0" fontId="9" fillId="0" borderId="27" xfId="0" applyFont="1" applyBorder="1" applyAlignment="1">
      <alignment horizontal="justify" vertical="center"/>
    </xf>
    <xf numFmtId="0" fontId="3" fillId="5" borderId="28" xfId="0" applyFont="1" applyFill="1" applyBorder="1" applyAlignment="1">
      <alignment horizontal="center"/>
    </xf>
    <xf numFmtId="1" fontId="3" fillId="0" borderId="28" xfId="0" applyNumberFormat="1" applyFont="1" applyBorder="1" applyAlignment="1">
      <alignment horizontal="center"/>
    </xf>
    <xf numFmtId="0" fontId="3" fillId="0" borderId="28" xfId="0" applyFont="1" applyBorder="1" applyAlignment="1">
      <alignment horizontal="center"/>
    </xf>
    <xf numFmtId="0" fontId="0" fillId="8" borderId="24" xfId="0" applyFont="1" applyFill="1" applyBorder="1" applyAlignment="1">
      <alignment horizontal="justify" vertical="center" wrapText="1"/>
    </xf>
    <xf numFmtId="0" fontId="1" fillId="8" borderId="12" xfId="0" applyFont="1" applyFill="1" applyBorder="1" applyAlignment="1">
      <alignment horizontal="justify" vertical="center" wrapText="1"/>
    </xf>
    <xf numFmtId="0" fontId="1" fillId="8" borderId="31" xfId="0" applyFont="1" applyFill="1" applyBorder="1" applyAlignment="1">
      <alignment horizontal="justify" vertical="center" wrapText="1"/>
    </xf>
    <xf numFmtId="0" fontId="3" fillId="0" borderId="0" xfId="0" applyFont="1" applyFill="1"/>
    <xf numFmtId="0" fontId="13" fillId="0" borderId="0" xfId="0" applyFont="1" applyFill="1" applyBorder="1" applyAlignment="1">
      <alignment horizontal="justify" vertical="center"/>
    </xf>
    <xf numFmtId="0" fontId="13" fillId="0" borderId="0" xfId="0" applyFont="1" applyFill="1" applyBorder="1"/>
    <xf numFmtId="1" fontId="13" fillId="0" borderId="0" xfId="0" applyNumberFormat="1" applyFont="1" applyFill="1" applyBorder="1"/>
    <xf numFmtId="0" fontId="0" fillId="0" borderId="0" xfId="0" applyFont="1" applyFill="1" applyAlignment="1"/>
    <xf numFmtId="0" fontId="0" fillId="0" borderId="0" xfId="0" applyFont="1" applyFill="1" applyBorder="1" applyAlignment="1">
      <alignment vertical="center" wrapText="1"/>
    </xf>
    <xf numFmtId="0" fontId="13" fillId="0" borderId="0" xfId="0" applyFont="1" applyFill="1" applyBorder="1" applyAlignment="1">
      <alignment vertical="center"/>
    </xf>
    <xf numFmtId="0" fontId="1" fillId="0" borderId="0" xfId="0" applyFont="1" applyFill="1" applyBorder="1"/>
    <xf numFmtId="0" fontId="0" fillId="0" borderId="0" xfId="0" applyFont="1" applyFill="1" applyBorder="1"/>
    <xf numFmtId="1" fontId="1" fillId="0" borderId="0" xfId="0" applyNumberFormat="1" applyFont="1" applyFill="1" applyBorder="1"/>
    <xf numFmtId="1" fontId="0" fillId="0" borderId="0" xfId="0" applyNumberFormat="1" applyFont="1" applyFill="1" applyBorder="1"/>
    <xf numFmtId="0" fontId="1" fillId="0" borderId="0" xfId="0" applyFont="1" applyFill="1" applyBorder="1" applyAlignment="1">
      <alignment vertical="center" wrapText="1"/>
    </xf>
    <xf numFmtId="0" fontId="0" fillId="8" borderId="25" xfId="0" applyFont="1" applyFill="1" applyBorder="1" applyAlignment="1">
      <alignment horizontal="justify" vertical="center" wrapText="1"/>
    </xf>
    <xf numFmtId="0" fontId="1" fillId="20" borderId="27" xfId="0" applyFont="1" applyFill="1" applyBorder="1" applyAlignment="1">
      <alignment horizontal="justify" vertical="center"/>
    </xf>
    <xf numFmtId="0" fontId="1" fillId="20" borderId="28" xfId="0" applyFont="1" applyFill="1" applyBorder="1"/>
    <xf numFmtId="1" fontId="1" fillId="20" borderId="28" xfId="0" applyNumberFormat="1" applyFont="1" applyFill="1" applyBorder="1"/>
    <xf numFmtId="1" fontId="1" fillId="20" borderId="29" xfId="0" applyNumberFormat="1" applyFont="1" applyFill="1" applyBorder="1"/>
    <xf numFmtId="0" fontId="1" fillId="8" borderId="24" xfId="0" applyFont="1" applyFill="1" applyBorder="1" applyAlignment="1">
      <alignment horizontal="left" vertical="top" wrapText="1"/>
    </xf>
    <xf numFmtId="1" fontId="0" fillId="0" borderId="31" xfId="0" applyNumberFormat="1" applyFont="1" applyBorder="1"/>
    <xf numFmtId="0" fontId="0" fillId="0" borderId="0" xfId="0" applyFont="1" applyFill="1" applyBorder="1" applyAlignment="1">
      <alignment horizontal="justify" vertical="center" wrapText="1"/>
    </xf>
    <xf numFmtId="0" fontId="1" fillId="20" borderId="27" xfId="0" applyFont="1" applyFill="1" applyBorder="1" applyAlignment="1">
      <alignment horizontal="justify" vertical="center" wrapText="1"/>
    </xf>
    <xf numFmtId="0" fontId="0" fillId="0" borderId="30" xfId="0" applyFont="1" applyBorder="1" applyAlignment="1">
      <alignment horizontal="left" vertical="top" wrapText="1"/>
    </xf>
    <xf numFmtId="0" fontId="3" fillId="11" borderId="30" xfId="0" applyFont="1" applyFill="1" applyBorder="1"/>
    <xf numFmtId="0" fontId="3" fillId="20" borderId="30" xfId="0" applyFont="1" applyFill="1" applyBorder="1" applyAlignment="1">
      <alignment wrapText="1"/>
    </xf>
    <xf numFmtId="0" fontId="3" fillId="0" borderId="30" xfId="0" applyFont="1" applyBorder="1" applyAlignment="1">
      <alignment wrapText="1"/>
    </xf>
    <xf numFmtId="0" fontId="3" fillId="20" borderId="27" xfId="0" applyFont="1" applyFill="1" applyBorder="1" applyAlignment="1">
      <alignment wrapText="1"/>
    </xf>
    <xf numFmtId="0" fontId="0" fillId="0" borderId="30" xfId="0" applyFont="1" applyBorder="1" applyAlignment="1">
      <alignment vertical="center" wrapText="1"/>
    </xf>
    <xf numFmtId="2" fontId="0" fillId="0" borderId="30" xfId="0" applyNumberFormat="1" applyFont="1" applyBorder="1"/>
    <xf numFmtId="165" fontId="0" fillId="0" borderId="31" xfId="0" applyNumberFormat="1" applyFont="1" applyBorder="1"/>
    <xf numFmtId="2" fontId="0" fillId="0" borderId="27" xfId="0" applyNumberFormat="1" applyFont="1" applyBorder="1"/>
    <xf numFmtId="2" fontId="0" fillId="0" borderId="28" xfId="0" applyNumberFormat="1" applyFont="1" applyBorder="1"/>
    <xf numFmtId="165" fontId="0" fillId="0" borderId="29" xfId="0" applyNumberFormat="1" applyFont="1" applyBorder="1"/>
    <xf numFmtId="49" fontId="1" fillId="8" borderId="31" xfId="0" applyNumberFormat="1" applyFont="1" applyFill="1" applyBorder="1" applyAlignment="1">
      <alignment vertical="top"/>
    </xf>
    <xf numFmtId="49" fontId="1" fillId="8" borderId="12" xfId="0" applyNumberFormat="1" applyFont="1" applyFill="1" applyBorder="1" applyAlignment="1">
      <alignment horizontal="left" vertical="top"/>
    </xf>
    <xf numFmtId="0" fontId="1" fillId="8" borderId="14" xfId="0" applyFont="1" applyFill="1" applyBorder="1"/>
    <xf numFmtId="0" fontId="0" fillId="8" borderId="30" xfId="0" applyFill="1" applyBorder="1"/>
    <xf numFmtId="0" fontId="5" fillId="0" borderId="0" xfId="0" applyFont="1" applyFill="1" applyBorder="1" applyAlignment="1">
      <alignment horizontal="left" vertical="center"/>
    </xf>
    <xf numFmtId="0" fontId="0" fillId="9" borderId="31" xfId="0" applyFont="1" applyFill="1" applyBorder="1" applyAlignment="1">
      <alignment horizontal="justify" vertical="center" wrapText="1"/>
    </xf>
    <xf numFmtId="165" fontId="0" fillId="9" borderId="31" xfId="0" applyNumberFormat="1" applyFont="1" applyFill="1" applyBorder="1" applyAlignment="1">
      <alignment horizontal="justify" vertical="center" wrapText="1"/>
    </xf>
    <xf numFmtId="1" fontId="0" fillId="9" borderId="28" xfId="0" applyNumberFormat="1" applyFont="1" applyFill="1" applyBorder="1" applyAlignment="1">
      <alignment horizontal="justify" vertical="center" wrapText="1"/>
    </xf>
    <xf numFmtId="165" fontId="0" fillId="9" borderId="28" xfId="0" applyNumberFormat="1" applyFont="1" applyFill="1" applyBorder="1" applyAlignment="1">
      <alignment horizontal="justify" vertical="center" wrapText="1"/>
    </xf>
    <xf numFmtId="165" fontId="0" fillId="9" borderId="29" xfId="0" applyNumberFormat="1" applyFont="1" applyFill="1" applyBorder="1" applyAlignment="1">
      <alignment horizontal="justify" vertical="center" wrapText="1"/>
    </xf>
    <xf numFmtId="0" fontId="1" fillId="0" borderId="0" xfId="0" applyFont="1" applyFill="1" applyBorder="1" applyAlignment="1"/>
    <xf numFmtId="0" fontId="0" fillId="0" borderId="30" xfId="0" applyFont="1" applyFill="1" applyBorder="1" applyAlignment="1">
      <alignment horizontal="justify" vertical="center" wrapText="1"/>
    </xf>
    <xf numFmtId="165" fontId="0" fillId="0" borderId="12" xfId="0" applyNumberFormat="1" applyFont="1" applyFill="1" applyBorder="1" applyAlignment="1">
      <alignment horizontal="left" vertical="center" wrapText="1"/>
    </xf>
    <xf numFmtId="0" fontId="0" fillId="0" borderId="27" xfId="0" applyFont="1" applyFill="1" applyBorder="1" applyAlignment="1">
      <alignment horizontal="justify" vertical="center" wrapText="1"/>
    </xf>
    <xf numFmtId="0" fontId="0" fillId="0" borderId="28" xfId="0" applyFont="1" applyFill="1" applyBorder="1" applyAlignment="1">
      <alignment horizontal="justify" vertical="center" wrapText="1"/>
    </xf>
    <xf numFmtId="1" fontId="0" fillId="0" borderId="28" xfId="0" applyNumberFormat="1" applyFont="1" applyFill="1" applyBorder="1" applyAlignment="1">
      <alignment horizontal="justify" vertical="center" wrapText="1"/>
    </xf>
    <xf numFmtId="2" fontId="0" fillId="0" borderId="12" xfId="0" applyNumberFormat="1" applyFont="1" applyFill="1" applyBorder="1" applyAlignment="1">
      <alignment horizontal="justify" vertical="center" wrapText="1"/>
    </xf>
    <xf numFmtId="165" fontId="0" fillId="0" borderId="28" xfId="0" applyNumberFormat="1" applyFont="1" applyFill="1" applyBorder="1" applyAlignment="1">
      <alignment horizontal="justify" vertical="center" wrapText="1"/>
    </xf>
    <xf numFmtId="0" fontId="0" fillId="0" borderId="30" xfId="0" applyFont="1" applyFill="1" applyBorder="1" applyAlignment="1">
      <alignment horizontal="right" vertical="center" wrapText="1"/>
    </xf>
    <xf numFmtId="0" fontId="0" fillId="0" borderId="12" xfId="0" applyFont="1" applyFill="1" applyBorder="1" applyAlignment="1">
      <alignment horizontal="right" vertical="center" wrapText="1"/>
    </xf>
    <xf numFmtId="1" fontId="0" fillId="0" borderId="12" xfId="0" applyNumberFormat="1" applyFont="1" applyFill="1" applyBorder="1" applyAlignment="1">
      <alignment horizontal="right" vertical="center" wrapText="1"/>
    </xf>
    <xf numFmtId="1" fontId="0" fillId="0" borderId="31" xfId="0" applyNumberFormat="1" applyFont="1" applyFill="1" applyBorder="1" applyAlignment="1">
      <alignment horizontal="right" vertical="center" wrapText="1"/>
    </xf>
    <xf numFmtId="165" fontId="0" fillId="0" borderId="12" xfId="0" applyNumberFormat="1" applyFont="1" applyFill="1" applyBorder="1" applyAlignment="1">
      <alignment horizontal="right" vertical="center" wrapText="1"/>
    </xf>
    <xf numFmtId="2" fontId="0" fillId="0" borderId="12" xfId="0" applyNumberFormat="1" applyFont="1" applyFill="1" applyBorder="1" applyAlignment="1">
      <alignment horizontal="right" vertical="center" wrapText="1"/>
    </xf>
    <xf numFmtId="165" fontId="0" fillId="0" borderId="31" xfId="0" applyNumberFormat="1" applyFont="1" applyFill="1" applyBorder="1" applyAlignment="1">
      <alignment horizontal="right" vertical="center" wrapText="1"/>
    </xf>
    <xf numFmtId="0" fontId="6" fillId="0" borderId="0" xfId="0" applyFont="1" applyAlignment="1">
      <alignment vertical="top" wrapText="1"/>
    </xf>
    <xf numFmtId="0" fontId="26" fillId="0" borderId="0" xfId="0" applyFont="1"/>
    <xf numFmtId="0" fontId="0" fillId="0" borderId="30" xfId="0" applyFont="1" applyBorder="1"/>
    <xf numFmtId="0" fontId="0" fillId="0" borderId="31" xfId="0" applyFont="1" applyBorder="1"/>
    <xf numFmtId="0" fontId="0" fillId="0" borderId="27" xfId="0" applyFont="1" applyBorder="1"/>
    <xf numFmtId="0" fontId="0" fillId="0" borderId="28" xfId="0" applyFont="1" applyBorder="1"/>
    <xf numFmtId="0" fontId="0" fillId="0" borderId="29" xfId="0" applyFont="1" applyBorder="1"/>
    <xf numFmtId="0" fontId="14" fillId="0" borderId="0" xfId="0" applyFont="1" applyAlignment="1">
      <alignment horizontal="left" vertical="center" readingOrder="1"/>
    </xf>
    <xf numFmtId="0" fontId="3" fillId="0" borderId="0" xfId="0" applyFont="1" applyFill="1" applyBorder="1" applyAlignment="1">
      <alignment horizontal="justify" vertical="center" wrapText="1"/>
    </xf>
    <xf numFmtId="0" fontId="3" fillId="11" borderId="12" xfId="0" applyFont="1" applyFill="1" applyBorder="1" applyAlignment="1">
      <alignment horizontal="left" vertical="top"/>
    </xf>
    <xf numFmtId="0" fontId="3" fillId="11" borderId="31" xfId="0" applyFont="1" applyFill="1" applyBorder="1" applyAlignment="1">
      <alignment horizontal="left" vertical="top"/>
    </xf>
    <xf numFmtId="0" fontId="3" fillId="20" borderId="12" xfId="0" applyFont="1" applyFill="1" applyBorder="1" applyAlignment="1">
      <alignment horizontal="left" vertical="top"/>
    </xf>
    <xf numFmtId="0" fontId="3" fillId="20" borderId="31" xfId="0" applyFont="1" applyFill="1" applyBorder="1" applyAlignment="1">
      <alignment horizontal="left" vertical="top"/>
    </xf>
    <xf numFmtId="0" fontId="3" fillId="0" borderId="12" xfId="0" applyFont="1" applyBorder="1" applyAlignment="1">
      <alignment horizontal="left" vertical="top"/>
    </xf>
    <xf numFmtId="16" fontId="3" fillId="0" borderId="12" xfId="0" applyNumberFormat="1" applyFont="1" applyBorder="1" applyAlignment="1">
      <alignment horizontal="left" vertical="top"/>
    </xf>
    <xf numFmtId="0" fontId="3" fillId="0" borderId="31" xfId="0" applyFont="1" applyBorder="1" applyAlignment="1">
      <alignment horizontal="left" vertical="top"/>
    </xf>
    <xf numFmtId="0" fontId="3" fillId="0" borderId="28" xfId="0" applyFont="1" applyBorder="1" applyAlignment="1">
      <alignment horizontal="left" vertical="top"/>
    </xf>
    <xf numFmtId="0" fontId="3" fillId="0" borderId="29" xfId="0" applyFont="1" applyBorder="1" applyAlignment="1">
      <alignment horizontal="left" vertical="top"/>
    </xf>
    <xf numFmtId="0" fontId="0" fillId="0" borderId="25" xfId="0" applyBorder="1"/>
    <xf numFmtId="0" fontId="0" fillId="0" borderId="26" xfId="0" applyBorder="1"/>
    <xf numFmtId="0" fontId="0" fillId="9" borderId="12" xfId="0" applyFont="1" applyFill="1" applyBorder="1"/>
    <xf numFmtId="0" fontId="1" fillId="8" borderId="30" xfId="0" applyFont="1" applyFill="1" applyBorder="1"/>
    <xf numFmtId="0" fontId="1" fillId="8" borderId="25" xfId="0" applyFont="1" applyFill="1" applyBorder="1"/>
    <xf numFmtId="0" fontId="1" fillId="8" borderId="26" xfId="0" applyFont="1" applyFill="1" applyBorder="1"/>
    <xf numFmtId="0" fontId="0" fillId="0" borderId="0" xfId="0" applyFill="1"/>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165" fontId="0" fillId="3" borderId="12" xfId="0" applyNumberFormat="1" applyFont="1" applyFill="1" applyBorder="1" applyAlignment="1">
      <alignment horizontal="center" wrapText="1"/>
    </xf>
    <xf numFmtId="165" fontId="0" fillId="0" borderId="30" xfId="0" applyNumberFormat="1" applyFont="1" applyBorder="1"/>
    <xf numFmtId="0" fontId="0" fillId="0" borderId="0" xfId="0" applyFont="1" applyFill="1" applyBorder="1" applyAlignment="1">
      <alignment horizontal="center"/>
    </xf>
    <xf numFmtId="0" fontId="0" fillId="3" borderId="0" xfId="0" applyFill="1"/>
    <xf numFmtId="0" fontId="14" fillId="3" borderId="0" xfId="0" applyFont="1" applyFill="1" applyAlignment="1">
      <alignment horizontal="left" vertical="center" readingOrder="1"/>
    </xf>
    <xf numFmtId="0" fontId="27" fillId="3" borderId="0" xfId="0" applyFont="1" applyFill="1"/>
    <xf numFmtId="0" fontId="14" fillId="0" borderId="0" xfId="0" applyFont="1" applyFill="1" applyAlignment="1">
      <alignment horizontal="left" vertical="center" readingOrder="1"/>
    </xf>
    <xf numFmtId="1" fontId="9" fillId="0" borderId="31" xfId="0" applyNumberFormat="1" applyFont="1" applyBorder="1" applyAlignment="1">
      <alignment horizontal="right" vertical="center" wrapText="1"/>
    </xf>
    <xf numFmtId="1" fontId="9" fillId="0" borderId="31" xfId="0" applyNumberFormat="1" applyFont="1" applyBorder="1" applyAlignment="1">
      <alignment horizontal="right" vertical="center"/>
    </xf>
    <xf numFmtId="0" fontId="0" fillId="8" borderId="24" xfId="0" applyFill="1" applyBorder="1"/>
    <xf numFmtId="1" fontId="0" fillId="3" borderId="0" xfId="0" applyNumberFormat="1" applyFont="1" applyFill="1" applyBorder="1" applyAlignment="1">
      <alignment horizontal="justify" vertical="center" wrapText="1"/>
    </xf>
    <xf numFmtId="0" fontId="0" fillId="3" borderId="0" xfId="0" applyFont="1" applyFill="1" applyBorder="1" applyAlignment="1">
      <alignment horizontal="justify" vertical="center" wrapText="1"/>
    </xf>
    <xf numFmtId="165" fontId="0" fillId="3" borderId="0" xfId="0" applyNumberFormat="1" applyFont="1" applyFill="1" applyBorder="1" applyAlignment="1">
      <alignment horizontal="justify" vertical="center" wrapText="1"/>
    </xf>
    <xf numFmtId="0" fontId="27" fillId="0" borderId="0" xfId="0" applyFont="1" applyAlignment="1">
      <alignment horizontal="justify" vertical="center"/>
    </xf>
    <xf numFmtId="0" fontId="0" fillId="3" borderId="0" xfId="0" applyFont="1" applyFill="1" applyBorder="1"/>
    <xf numFmtId="0" fontId="3" fillId="3" borderId="0" xfId="0" applyFont="1" applyFill="1" applyAlignment="1">
      <alignment horizontal="justify" vertical="center"/>
    </xf>
    <xf numFmtId="0" fontId="0" fillId="3" borderId="0" xfId="0" applyFill="1" applyAlignment="1">
      <alignment vertical="top"/>
    </xf>
    <xf numFmtId="0" fontId="0" fillId="3" borderId="0" xfId="0" applyFont="1" applyFill="1" applyAlignment="1">
      <alignment horizontal="justify" vertical="center"/>
    </xf>
    <xf numFmtId="0" fontId="0" fillId="3" borderId="0" xfId="0" applyFill="1" applyAlignment="1">
      <alignment vertical="center"/>
    </xf>
    <xf numFmtId="0" fontId="0" fillId="3" borderId="0" xfId="0" applyFill="1" applyAlignment="1"/>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1" fillId="8" borderId="31" xfId="0" applyFont="1" applyFill="1" applyBorder="1" applyAlignment="1">
      <alignment horizontal="center" vertical="center" wrapText="1"/>
    </xf>
    <xf numFmtId="0" fontId="0" fillId="0" borderId="30" xfId="0" applyFont="1" applyBorder="1" applyAlignment="1">
      <alignment horizontal="justify" vertical="center" wrapText="1"/>
    </xf>
    <xf numFmtId="0" fontId="1" fillId="8" borderId="25" xfId="0" applyFont="1" applyFill="1" applyBorder="1"/>
    <xf numFmtId="0" fontId="1" fillId="8" borderId="12" xfId="0" applyFont="1" applyFill="1" applyBorder="1" applyAlignment="1">
      <alignment horizontal="center" wrapText="1"/>
    </xf>
    <xf numFmtId="0" fontId="1" fillId="8" borderId="30" xfId="0" applyFont="1" applyFill="1" applyBorder="1"/>
    <xf numFmtId="0" fontId="0" fillId="8" borderId="53" xfId="0" applyFont="1" applyFill="1" applyBorder="1"/>
    <xf numFmtId="0" fontId="6" fillId="0" borderId="0" xfId="0" applyFont="1" applyBorder="1" applyAlignment="1">
      <alignment horizontal="justify" vertical="center" wrapText="1"/>
    </xf>
    <xf numFmtId="0" fontId="6" fillId="0" borderId="0" xfId="0" applyFont="1" applyBorder="1" applyAlignment="1">
      <alignment horizontal="center" vertical="center" wrapText="1"/>
    </xf>
    <xf numFmtId="49" fontId="6"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3" borderId="22" xfId="0" applyFont="1" applyFill="1" applyBorder="1"/>
    <xf numFmtId="0" fontId="0" fillId="12" borderId="14" xfId="0" applyFont="1" applyFill="1" applyBorder="1"/>
    <xf numFmtId="0" fontId="0" fillId="12" borderId="15" xfId="0" applyFont="1" applyFill="1" applyBorder="1"/>
    <xf numFmtId="0" fontId="0" fillId="12" borderId="16" xfId="0" applyFont="1" applyFill="1" applyBorder="1"/>
    <xf numFmtId="0" fontId="0" fillId="13" borderId="14" xfId="0" applyFont="1" applyFill="1" applyBorder="1"/>
    <xf numFmtId="0" fontId="0" fillId="13" borderId="15" xfId="0" applyFont="1" applyFill="1" applyBorder="1"/>
    <xf numFmtId="0" fontId="0" fillId="13" borderId="16" xfId="0" applyFont="1" applyFill="1" applyBorder="1"/>
    <xf numFmtId="0" fontId="0" fillId="0" borderId="12"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12" fillId="0" borderId="0" xfId="0" applyFont="1" applyFill="1" applyBorder="1" applyAlignment="1">
      <alignment horizontal="center"/>
    </xf>
    <xf numFmtId="0" fontId="5" fillId="0" borderId="30" xfId="0" applyFont="1" applyBorder="1"/>
    <xf numFmtId="0" fontId="5" fillId="0" borderId="12" xfId="0" applyFont="1" applyBorder="1"/>
    <xf numFmtId="0" fontId="5" fillId="0" borderId="31" xfId="0" applyFont="1" applyBorder="1"/>
    <xf numFmtId="0" fontId="5" fillId="0" borderId="0" xfId="0" applyFont="1"/>
    <xf numFmtId="0" fontId="5" fillId="0" borderId="24" xfId="0" applyFont="1" applyBorder="1"/>
    <xf numFmtId="0" fontId="5" fillId="0" borderId="41" xfId="0" applyFont="1" applyBorder="1"/>
    <xf numFmtId="0" fontId="5" fillId="0" borderId="48" xfId="0" applyFont="1" applyBorder="1"/>
    <xf numFmtId="0" fontId="5" fillId="0" borderId="49" xfId="0" applyFont="1" applyBorder="1"/>
    <xf numFmtId="0" fontId="5" fillId="0" borderId="2" xfId="0" applyFont="1" applyBorder="1"/>
    <xf numFmtId="0" fontId="12" fillId="8" borderId="51" xfId="0" applyFont="1" applyFill="1" applyBorder="1"/>
    <xf numFmtId="0" fontId="12" fillId="8" borderId="52" xfId="0" applyFont="1" applyFill="1" applyBorder="1"/>
    <xf numFmtId="0" fontId="12" fillId="0" borderId="0" xfId="0" applyFont="1"/>
    <xf numFmtId="0" fontId="5" fillId="0" borderId="36" xfId="0" applyFont="1" applyBorder="1"/>
    <xf numFmtId="0" fontId="0" fillId="0" borderId="12" xfId="0" applyFont="1" applyBorder="1" applyAlignment="1">
      <alignment horizontal="right" vertical="center" wrapText="1"/>
    </xf>
    <xf numFmtId="16" fontId="0" fillId="0" borderId="12" xfId="0" applyNumberFormat="1" applyFont="1" applyBorder="1" applyAlignment="1">
      <alignment horizontal="right" vertical="center" wrapText="1"/>
    </xf>
    <xf numFmtId="1" fontId="0" fillId="0" borderId="31" xfId="0" applyNumberFormat="1" applyFont="1" applyBorder="1" applyAlignment="1">
      <alignment horizontal="right" vertical="center" wrapText="1"/>
    </xf>
    <xf numFmtId="0" fontId="0" fillId="0" borderId="12" xfId="0" applyFont="1" applyBorder="1" applyAlignment="1">
      <alignment horizontal="right"/>
    </xf>
    <xf numFmtId="0" fontId="0" fillId="0" borderId="12" xfId="0" applyFont="1" applyBorder="1" applyAlignment="1">
      <alignment vertical="center" wrapText="1"/>
    </xf>
    <xf numFmtId="1" fontId="0" fillId="0" borderId="31" xfId="0" applyNumberFormat="1" applyFont="1" applyBorder="1" applyAlignment="1">
      <alignment vertical="center" wrapText="1"/>
    </xf>
    <xf numFmtId="0" fontId="0" fillId="0" borderId="30" xfId="0" applyFont="1" applyFill="1" applyBorder="1" applyAlignment="1">
      <alignment vertical="center" wrapText="1"/>
    </xf>
    <xf numFmtId="0" fontId="12" fillId="21" borderId="28" xfId="0" applyFont="1" applyFill="1" applyBorder="1"/>
    <xf numFmtId="0" fontId="12" fillId="21" borderId="29" xfId="0" applyFont="1" applyFill="1" applyBorder="1"/>
    <xf numFmtId="0" fontId="1" fillId="8" borderId="30" xfId="0" applyFont="1" applyFill="1" applyBorder="1" applyAlignment="1">
      <alignment horizontal="justify" vertical="center" wrapText="1"/>
    </xf>
    <xf numFmtId="0" fontId="1" fillId="8" borderId="24" xfId="0" applyFont="1" applyFill="1" applyBorder="1" applyAlignment="1">
      <alignment horizontal="justify" vertical="center" wrapText="1"/>
    </xf>
    <xf numFmtId="0" fontId="1" fillId="8" borderId="12" xfId="0" applyFont="1" applyFill="1" applyBorder="1" applyAlignment="1">
      <alignment horizontal="justify" vertical="center" wrapText="1"/>
    </xf>
    <xf numFmtId="0" fontId="1" fillId="8" borderId="25" xfId="0" applyFont="1" applyFill="1" applyBorder="1" applyAlignment="1">
      <alignment horizontal="center"/>
    </xf>
    <xf numFmtId="0" fontId="1" fillId="8" borderId="25"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0" fillId="0" borderId="30" xfId="0" applyFont="1" applyBorder="1" applyAlignment="1">
      <alignment horizontal="justify" vertical="center" wrapText="1"/>
    </xf>
    <xf numFmtId="0" fontId="0" fillId="0" borderId="27" xfId="0" applyFont="1" applyBorder="1" applyAlignment="1">
      <alignment horizontal="justify" vertical="center" wrapText="1"/>
    </xf>
    <xf numFmtId="0" fontId="1" fillId="8" borderId="30" xfId="0" applyFont="1" applyFill="1" applyBorder="1"/>
    <xf numFmtId="0" fontId="0" fillId="0" borderId="30" xfId="0" applyFont="1" applyFill="1" applyBorder="1" applyAlignment="1">
      <alignment horizontal="justify" vertical="center" wrapText="1"/>
    </xf>
    <xf numFmtId="0" fontId="1" fillId="0" borderId="59" xfId="0" applyFont="1" applyBorder="1"/>
    <xf numFmtId="0" fontId="1" fillId="0" borderId="0" xfId="0" applyFont="1" applyBorder="1"/>
    <xf numFmtId="0" fontId="1" fillId="0" borderId="4" xfId="0" applyFont="1" applyBorder="1"/>
    <xf numFmtId="0" fontId="0" fillId="0" borderId="59" xfId="0" applyBorder="1" applyAlignment="1">
      <alignment horizontal="left"/>
    </xf>
    <xf numFmtId="0" fontId="0" fillId="0" borderId="4" xfId="0" applyBorder="1"/>
    <xf numFmtId="0" fontId="0" fillId="0" borderId="0" xfId="0" applyBorder="1" applyAlignment="1">
      <alignment wrapText="1"/>
    </xf>
    <xf numFmtId="0" fontId="0" fillId="0" borderId="4" xfId="0" applyBorder="1" applyAlignment="1">
      <alignment vertical="top"/>
    </xf>
    <xf numFmtId="0" fontId="0" fillId="0" borderId="0" xfId="0" applyFill="1" applyBorder="1"/>
    <xf numFmtId="0" fontId="0" fillId="0" borderId="4" xfId="0" applyFill="1" applyBorder="1"/>
    <xf numFmtId="0" fontId="0" fillId="0" borderId="0" xfId="0" applyFill="1" applyBorder="1" applyAlignment="1">
      <alignment vertical="center" wrapText="1"/>
    </xf>
    <xf numFmtId="0" fontId="0" fillId="0" borderId="4" xfId="0" applyFill="1" applyBorder="1" applyAlignment="1">
      <alignment horizontal="left" vertical="top"/>
    </xf>
    <xf numFmtId="0" fontId="0" fillId="0" borderId="59" xfId="0" applyFont="1" applyFill="1" applyBorder="1" applyAlignment="1">
      <alignment horizontal="left"/>
    </xf>
    <xf numFmtId="0" fontId="0" fillId="0" borderId="0" xfId="0" applyFont="1" applyFill="1" applyBorder="1" applyAlignment="1">
      <alignment horizontal="left" vertical="top"/>
    </xf>
    <xf numFmtId="0" fontId="0" fillId="0" borderId="4" xfId="0" applyFont="1" applyFill="1" applyBorder="1" applyAlignment="1">
      <alignment horizontal="left" vertical="top"/>
    </xf>
    <xf numFmtId="0" fontId="0" fillId="0" borderId="0" xfId="0" applyBorder="1" applyAlignment="1">
      <alignment horizontal="left" vertical="top"/>
    </xf>
    <xf numFmtId="0" fontId="0" fillId="0" borderId="4" xfId="0" applyBorder="1" applyAlignment="1">
      <alignment horizontal="left" vertical="top"/>
    </xf>
    <xf numFmtId="0" fontId="0" fillId="0" borderId="0" xfId="0" applyFill="1" applyBorder="1" applyAlignment="1">
      <alignment horizontal="left" vertical="top"/>
    </xf>
    <xf numFmtId="0" fontId="0" fillId="0" borderId="4" xfId="0" applyFill="1" applyBorder="1" applyAlignment="1">
      <alignment horizontal="left" vertical="top"/>
    </xf>
    <xf numFmtId="0" fontId="0" fillId="0" borderId="60" xfId="0" applyBorder="1" applyAlignment="1">
      <alignment horizontal="left"/>
    </xf>
    <xf numFmtId="0" fontId="0" fillId="0" borderId="12" xfId="0" applyNumberFormat="1" applyFont="1" applyBorder="1"/>
    <xf numFmtId="0" fontId="12" fillId="8" borderId="24" xfId="0" applyFont="1" applyFill="1" applyBorder="1"/>
    <xf numFmtId="0" fontId="12" fillId="8" borderId="6" xfId="0" applyFont="1" applyFill="1" applyBorder="1"/>
    <xf numFmtId="0" fontId="5" fillId="0" borderId="30" xfId="0" applyFont="1" applyFill="1" applyBorder="1" applyAlignment="1">
      <alignment horizontal="justify" vertical="center" wrapText="1"/>
    </xf>
    <xf numFmtId="0" fontId="3" fillId="0" borderId="12" xfId="0" applyFont="1" applyFill="1" applyBorder="1" applyAlignment="1">
      <alignment horizontal="justify" vertical="center" wrapText="1"/>
    </xf>
    <xf numFmtId="165" fontId="3" fillId="0" borderId="12" xfId="0" applyNumberFormat="1" applyFont="1" applyBorder="1" applyAlignment="1">
      <alignment horizontal="left" vertical="center" wrapText="1"/>
    </xf>
    <xf numFmtId="165" fontId="3" fillId="4" borderId="12" xfId="0" applyNumberFormat="1" applyFont="1" applyFill="1" applyBorder="1" applyAlignment="1">
      <alignment horizontal="left" vertical="center" wrapText="1"/>
    </xf>
    <xf numFmtId="165" fontId="3" fillId="4" borderId="31" xfId="0" applyNumberFormat="1" applyFont="1" applyFill="1" applyBorder="1" applyAlignment="1">
      <alignment horizontal="left" vertical="center" wrapText="1"/>
    </xf>
    <xf numFmtId="165" fontId="0" fillId="0" borderId="12" xfId="0" applyNumberFormat="1" applyFont="1" applyBorder="1" applyAlignment="1">
      <alignment horizontal="left" vertical="center" wrapText="1"/>
    </xf>
    <xf numFmtId="165" fontId="3" fillId="0" borderId="28" xfId="0" applyNumberFormat="1" applyFont="1" applyBorder="1" applyAlignment="1">
      <alignment horizontal="left" vertical="center" wrapText="1"/>
    </xf>
    <xf numFmtId="165" fontId="3" fillId="4" borderId="28" xfId="0" applyNumberFormat="1" applyFont="1" applyFill="1" applyBorder="1" applyAlignment="1">
      <alignment horizontal="left" vertical="center" wrapText="1"/>
    </xf>
    <xf numFmtId="165" fontId="3" fillId="4" borderId="29" xfId="0" applyNumberFormat="1" applyFont="1" applyFill="1" applyBorder="1" applyAlignment="1">
      <alignment horizontal="left" vertical="center" wrapText="1"/>
    </xf>
    <xf numFmtId="49" fontId="1" fillId="3" borderId="0" xfId="0" applyNumberFormat="1" applyFont="1" applyFill="1" applyBorder="1"/>
    <xf numFmtId="0" fontId="0" fillId="3" borderId="0" xfId="0" applyNumberFormat="1" applyFont="1" applyFill="1" applyBorder="1"/>
    <xf numFmtId="49" fontId="0" fillId="3" borderId="0" xfId="0" applyNumberFormat="1" applyFont="1" applyFill="1" applyBorder="1"/>
    <xf numFmtId="49" fontId="1" fillId="3" borderId="0" xfId="0" applyNumberFormat="1" applyFont="1" applyFill="1" applyBorder="1" applyAlignment="1">
      <alignment horizontal="center"/>
    </xf>
    <xf numFmtId="0" fontId="1" fillId="3" borderId="0" xfId="0" applyNumberFormat="1" applyFont="1" applyFill="1" applyBorder="1" applyAlignment="1">
      <alignment horizontal="center"/>
    </xf>
    <xf numFmtId="49" fontId="1" fillId="3" borderId="0" xfId="0" applyNumberFormat="1" applyFont="1" applyFill="1" applyBorder="1" applyAlignment="1">
      <alignment horizontal="center" wrapText="1"/>
    </xf>
    <xf numFmtId="49" fontId="0" fillId="2" borderId="12" xfId="0" applyNumberFormat="1" applyFont="1" applyFill="1" applyBorder="1"/>
    <xf numFmtId="0" fontId="1" fillId="8" borderId="25" xfId="0" applyFont="1" applyFill="1" applyBorder="1" applyAlignment="1">
      <alignment horizontal="right"/>
    </xf>
    <xf numFmtId="0" fontId="1" fillId="8" borderId="26" xfId="0" applyFont="1" applyFill="1" applyBorder="1" applyAlignment="1">
      <alignment horizontal="right"/>
    </xf>
    <xf numFmtId="0" fontId="1" fillId="8" borderId="12" xfId="0" applyFont="1" applyFill="1" applyBorder="1" applyAlignment="1">
      <alignment horizontal="right"/>
    </xf>
    <xf numFmtId="0" fontId="1" fillId="8" borderId="31" xfId="0" applyNumberFormat="1" applyFont="1" applyFill="1" applyBorder="1" applyAlignment="1">
      <alignment horizontal="right"/>
    </xf>
    <xf numFmtId="0" fontId="7" fillId="0" borderId="30" xfId="0" applyFont="1" applyFill="1" applyBorder="1"/>
    <xf numFmtId="49" fontId="7" fillId="0" borderId="12" xfId="0" applyNumberFormat="1" applyFont="1" applyBorder="1"/>
    <xf numFmtId="0" fontId="3" fillId="3" borderId="30" xfId="0" applyFont="1" applyFill="1" applyBorder="1"/>
    <xf numFmtId="0" fontId="35" fillId="0" borderId="30" xfId="0" applyFont="1" applyFill="1" applyBorder="1"/>
    <xf numFmtId="0" fontId="0" fillId="0" borderId="30" xfId="0" applyFont="1" applyFill="1" applyBorder="1"/>
    <xf numFmtId="0" fontId="1" fillId="21" borderId="0" xfId="0" applyFont="1" applyFill="1"/>
    <xf numFmtId="0" fontId="1" fillId="0" borderId="12" xfId="0" applyFont="1" applyBorder="1" applyAlignment="1">
      <alignment horizontal="right"/>
    </xf>
    <xf numFmtId="0" fontId="1" fillId="0" borderId="17" xfId="0" applyFont="1" applyBorder="1" applyAlignment="1">
      <alignment horizontal="right"/>
    </xf>
    <xf numFmtId="0" fontId="1" fillId="0" borderId="9" xfId="0" applyFont="1" applyBorder="1" applyAlignment="1">
      <alignment horizontal="right"/>
    </xf>
    <xf numFmtId="0" fontId="0" fillId="16" borderId="32" xfId="0" applyFont="1" applyFill="1" applyBorder="1"/>
    <xf numFmtId="0" fontId="0" fillId="14" borderId="18" xfId="0" applyFont="1" applyFill="1" applyBorder="1" applyAlignment="1">
      <alignment horizontal="center"/>
    </xf>
    <xf numFmtId="0" fontId="0" fillId="14" borderId="19" xfId="0" applyFont="1" applyFill="1" applyBorder="1" applyAlignment="1">
      <alignment horizontal="center"/>
    </xf>
    <xf numFmtId="0" fontId="0" fillId="14" borderId="20" xfId="0" applyFont="1" applyFill="1" applyBorder="1" applyAlignment="1">
      <alignment horizontal="center"/>
    </xf>
    <xf numFmtId="0" fontId="0" fillId="6" borderId="34" xfId="0" applyFont="1" applyFill="1" applyBorder="1"/>
    <xf numFmtId="0" fontId="1" fillId="0" borderId="14" xfId="0" applyFont="1" applyBorder="1"/>
    <xf numFmtId="0" fontId="0" fillId="2" borderId="0" xfId="0" applyFont="1" applyFill="1"/>
    <xf numFmtId="0" fontId="12" fillId="21" borderId="27" xfId="0" applyFont="1" applyFill="1" applyBorder="1"/>
    <xf numFmtId="0" fontId="12" fillId="8" borderId="42" xfId="0" applyFont="1" applyFill="1" applyBorder="1" applyAlignment="1">
      <alignment horizontal="right"/>
    </xf>
    <xf numFmtId="0" fontId="12" fillId="8" borderId="41" xfId="0" applyFont="1" applyFill="1" applyBorder="1" applyAlignment="1">
      <alignment horizontal="right"/>
    </xf>
    <xf numFmtId="0" fontId="1" fillId="8" borderId="12" xfId="0" applyFont="1" applyFill="1" applyBorder="1" applyAlignment="1">
      <alignment horizontal="center" vertical="center"/>
    </xf>
    <xf numFmtId="49" fontId="0" fillId="0" borderId="12" xfId="0" applyNumberFormat="1" applyFont="1" applyBorder="1" applyAlignment="1">
      <alignment horizontal="center" vertical="center" wrapText="1"/>
    </xf>
    <xf numFmtId="1" fontId="0" fillId="0" borderId="12" xfId="0" applyNumberFormat="1" applyFont="1" applyBorder="1" applyAlignment="1">
      <alignment horizontal="center" vertical="center" wrapText="1"/>
    </xf>
    <xf numFmtId="0" fontId="0" fillId="0" borderId="30" xfId="0" applyFont="1" applyBorder="1" applyAlignment="1">
      <alignment horizontal="center" vertical="center" wrapText="1"/>
    </xf>
    <xf numFmtId="2" fontId="0" fillId="3" borderId="12" xfId="0" applyNumberFormat="1" applyFont="1" applyFill="1" applyBorder="1" applyAlignment="1">
      <alignment horizontal="center" wrapText="1"/>
    </xf>
    <xf numFmtId="2" fontId="0" fillId="3" borderId="28" xfId="0" applyNumberFormat="1" applyFont="1" applyFill="1" applyBorder="1" applyAlignment="1">
      <alignment horizontal="center" wrapText="1"/>
    </xf>
    <xf numFmtId="166" fontId="0" fillId="3" borderId="12" xfId="0" applyNumberFormat="1" applyFont="1" applyFill="1" applyBorder="1" applyAlignment="1">
      <alignment horizontal="center" wrapText="1"/>
    </xf>
    <xf numFmtId="166" fontId="0" fillId="3" borderId="28" xfId="0" applyNumberFormat="1" applyFont="1" applyFill="1" applyBorder="1" applyAlignment="1">
      <alignment horizontal="center" wrapText="1"/>
    </xf>
    <xf numFmtId="168" fontId="0" fillId="3" borderId="31" xfId="0" applyNumberFormat="1" applyFont="1" applyFill="1" applyBorder="1" applyAlignment="1">
      <alignment horizontal="center" wrapText="1"/>
    </xf>
    <xf numFmtId="168" fontId="0" fillId="3" borderId="29" xfId="0" applyNumberFormat="1" applyFont="1" applyFill="1" applyBorder="1" applyAlignment="1">
      <alignment horizontal="center" wrapText="1"/>
    </xf>
    <xf numFmtId="0" fontId="1" fillId="0" borderId="28" xfId="0" applyFont="1" applyBorder="1"/>
    <xf numFmtId="0" fontId="1" fillId="0" borderId="29" xfId="0" applyFont="1" applyBorder="1"/>
    <xf numFmtId="0" fontId="1" fillId="0" borderId="27" xfId="0" applyFont="1" applyBorder="1"/>
    <xf numFmtId="0" fontId="7" fillId="0" borderId="30" xfId="0" applyFont="1" applyBorder="1"/>
    <xf numFmtId="0" fontId="1" fillId="0" borderId="30" xfId="0" applyFont="1" applyBorder="1"/>
    <xf numFmtId="0" fontId="1" fillId="0" borderId="31" xfId="0" applyFont="1" applyBorder="1"/>
    <xf numFmtId="165" fontId="1" fillId="0" borderId="27" xfId="0" applyNumberFormat="1" applyFont="1" applyBorder="1"/>
    <xf numFmtId="0" fontId="7" fillId="0" borderId="27" xfId="0" applyFont="1" applyBorder="1"/>
    <xf numFmtId="165" fontId="1" fillId="0" borderId="12" xfId="0" applyNumberFormat="1" applyFont="1" applyBorder="1"/>
    <xf numFmtId="0" fontId="0" fillId="0" borderId="28" xfId="0" applyFont="1" applyBorder="1" applyAlignment="1">
      <alignment horizontal="right" vertical="center" wrapText="1"/>
    </xf>
    <xf numFmtId="0" fontId="1" fillId="8" borderId="24" xfId="0" applyFont="1" applyFill="1" applyBorder="1" applyAlignment="1">
      <alignment horizontal="right"/>
    </xf>
    <xf numFmtId="0" fontId="0" fillId="0" borderId="30" xfId="0" applyFont="1" applyBorder="1" applyAlignment="1">
      <alignment horizontal="right"/>
    </xf>
    <xf numFmtId="0" fontId="0" fillId="0" borderId="31" xfId="0" applyFont="1" applyBorder="1" applyAlignment="1">
      <alignment horizontal="right"/>
    </xf>
    <xf numFmtId="0" fontId="3" fillId="0" borderId="12" xfId="0" applyNumberFormat="1" applyFont="1" applyBorder="1" applyAlignment="1">
      <alignment horizontal="center"/>
    </xf>
    <xf numFmtId="0" fontId="3" fillId="0" borderId="31" xfId="0" applyFont="1" applyBorder="1" applyAlignment="1">
      <alignment horizontal="center"/>
    </xf>
    <xf numFmtId="0" fontId="3" fillId="0" borderId="28" xfId="0" applyNumberFormat="1" applyFont="1" applyBorder="1" applyAlignment="1">
      <alignment horizontal="center"/>
    </xf>
    <xf numFmtId="0" fontId="3" fillId="0" borderId="29" xfId="0" applyFont="1" applyBorder="1" applyAlignment="1">
      <alignment horizontal="center"/>
    </xf>
    <xf numFmtId="0" fontId="3" fillId="0" borderId="55" xfId="0" applyFont="1" applyBorder="1" applyAlignment="1">
      <alignment horizontal="left"/>
    </xf>
    <xf numFmtId="0" fontId="5" fillId="0" borderId="0" xfId="0" applyFont="1" applyBorder="1" applyAlignment="1">
      <alignment horizontal="justify" vertical="center" wrapText="1"/>
    </xf>
    <xf numFmtId="0" fontId="3" fillId="0" borderId="0" xfId="0" applyFont="1" applyBorder="1" applyAlignment="1">
      <alignment horizontal="justify" vertical="center" wrapText="1"/>
    </xf>
    <xf numFmtId="165" fontId="3" fillId="0" borderId="0" xfId="0" applyNumberFormat="1" applyFont="1" applyBorder="1" applyAlignment="1">
      <alignment horizontal="left" vertical="center" wrapText="1"/>
    </xf>
    <xf numFmtId="0" fontId="3" fillId="3" borderId="0" xfId="0" applyFont="1" applyFill="1" applyBorder="1" applyAlignment="1">
      <alignment horizontal="justify" vertical="center" wrapText="1"/>
    </xf>
    <xf numFmtId="165" fontId="3" fillId="3" borderId="0" xfId="0" applyNumberFormat="1" applyFont="1" applyFill="1" applyBorder="1" applyAlignment="1">
      <alignment horizontal="left" vertical="center" wrapText="1"/>
    </xf>
    <xf numFmtId="0" fontId="3" fillId="0" borderId="31" xfId="0" applyNumberFormat="1" applyFont="1" applyBorder="1" applyAlignment="1">
      <alignment horizontal="left" vertical="top"/>
    </xf>
    <xf numFmtId="0" fontId="3" fillId="0" borderId="29" xfId="0" applyNumberFormat="1" applyFont="1" applyBorder="1" applyAlignment="1">
      <alignment horizontal="left" vertical="top"/>
    </xf>
    <xf numFmtId="0" fontId="3" fillId="0" borderId="28" xfId="0" applyFont="1" applyFill="1" applyBorder="1" applyAlignment="1">
      <alignment horizontal="left" vertical="top"/>
    </xf>
    <xf numFmtId="16" fontId="3" fillId="11" borderId="31" xfId="0" applyNumberFormat="1" applyFont="1" applyFill="1" applyBorder="1" applyAlignment="1">
      <alignment horizontal="left" vertical="top"/>
    </xf>
    <xf numFmtId="0" fontId="3" fillId="0" borderId="29" xfId="0" applyFont="1" applyFill="1" applyBorder="1" applyAlignment="1">
      <alignment horizontal="left" vertical="top"/>
    </xf>
    <xf numFmtId="0" fontId="3" fillId="11" borderId="12" xfId="0" applyFont="1" applyFill="1" applyBorder="1" applyAlignment="1">
      <alignment horizontal="left"/>
    </xf>
    <xf numFmtId="0" fontId="3" fillId="11" borderId="31" xfId="0" applyFont="1" applyFill="1" applyBorder="1" applyAlignment="1">
      <alignment horizontal="left"/>
    </xf>
    <xf numFmtId="0" fontId="3" fillId="20" borderId="28" xfId="0" applyFont="1" applyFill="1" applyBorder="1" applyAlignment="1">
      <alignment horizontal="left"/>
    </xf>
    <xf numFmtId="0" fontId="3" fillId="20" borderId="29" xfId="0" applyFont="1" applyFill="1" applyBorder="1" applyAlignment="1">
      <alignment horizontal="left"/>
    </xf>
    <xf numFmtId="0" fontId="3" fillId="20" borderId="12" xfId="0" applyFont="1" applyFill="1" applyBorder="1" applyAlignment="1">
      <alignment horizontal="left"/>
    </xf>
    <xf numFmtId="0" fontId="3" fillId="20" borderId="31" xfId="0" applyFont="1" applyFill="1" applyBorder="1" applyAlignment="1">
      <alignment horizontal="left"/>
    </xf>
    <xf numFmtId="0" fontId="3" fillId="0" borderId="28" xfId="0" applyFont="1" applyBorder="1" applyAlignment="1">
      <alignment horizontal="left"/>
    </xf>
    <xf numFmtId="0" fontId="3" fillId="0" borderId="29" xfId="0" applyFont="1" applyBorder="1" applyAlignment="1">
      <alignment horizontal="left"/>
    </xf>
    <xf numFmtId="0" fontId="1" fillId="8" borderId="24" xfId="0" applyFont="1" applyFill="1" applyBorder="1" applyAlignment="1">
      <alignment wrapText="1"/>
    </xf>
    <xf numFmtId="165" fontId="0" fillId="0" borderId="12" xfId="0" applyNumberFormat="1" applyBorder="1" applyAlignment="1">
      <alignment horizontal="left"/>
    </xf>
    <xf numFmtId="165" fontId="0" fillId="0" borderId="31" xfId="0" applyNumberFormat="1"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5" fillId="3" borderId="0" xfId="0" applyFont="1" applyFill="1" applyAlignment="1">
      <alignment horizontal="left" vertical="center" readingOrder="1"/>
    </xf>
    <xf numFmtId="0" fontId="1" fillId="8" borderId="25" xfId="0" applyFont="1" applyFill="1" applyBorder="1" applyAlignment="1">
      <alignment horizontal="center" vertical="top"/>
    </xf>
    <xf numFmtId="0" fontId="1" fillId="8" borderId="26" xfId="0" applyFont="1" applyFill="1" applyBorder="1" applyAlignment="1">
      <alignment horizontal="center" vertical="top"/>
    </xf>
    <xf numFmtId="0" fontId="1" fillId="8" borderId="25" xfId="0" applyFont="1" applyFill="1" applyBorder="1" applyAlignment="1">
      <alignment horizontal="center" vertical="top" wrapText="1"/>
    </xf>
    <xf numFmtId="1" fontId="1" fillId="8" borderId="26" xfId="0" applyNumberFormat="1" applyFont="1" applyFill="1" applyBorder="1" applyAlignment="1">
      <alignment horizontal="center" vertical="top" wrapText="1"/>
    </xf>
    <xf numFmtId="1" fontId="0" fillId="0" borderId="31" xfId="0" applyNumberFormat="1" applyFont="1" applyBorder="1" applyAlignment="1">
      <alignment horizontal="center" vertical="center" wrapText="1"/>
    </xf>
    <xf numFmtId="1" fontId="1" fillId="20" borderId="28" xfId="0" applyNumberFormat="1" applyFont="1" applyFill="1" applyBorder="1" applyAlignment="1">
      <alignment horizontal="center" vertical="center" wrapText="1"/>
    </xf>
    <xf numFmtId="1" fontId="1" fillId="20" borderId="29" xfId="0" applyNumberFormat="1" applyFont="1" applyFill="1" applyBorder="1" applyAlignment="1">
      <alignment horizontal="center" vertical="center" wrapText="1"/>
    </xf>
    <xf numFmtId="0" fontId="1" fillId="0" borderId="27" xfId="0" applyFont="1" applyBorder="1" applyAlignment="1">
      <alignment horizontal="justify" vertical="center" wrapText="1"/>
    </xf>
    <xf numFmtId="0" fontId="1" fillId="9" borderId="30" xfId="0" applyFont="1" applyFill="1" applyBorder="1"/>
    <xf numFmtId="2" fontId="1" fillId="9" borderId="12" xfId="2" applyNumberFormat="1" applyFont="1" applyFill="1" applyBorder="1"/>
    <xf numFmtId="0" fontId="1" fillId="9" borderId="14" xfId="0" applyFont="1" applyFill="1" applyBorder="1"/>
    <xf numFmtId="166" fontId="1" fillId="8" borderId="12" xfId="0" applyNumberFormat="1" applyFont="1" applyFill="1" applyBorder="1"/>
    <xf numFmtId="0" fontId="1" fillId="9" borderId="31" xfId="0" applyFont="1" applyFill="1" applyBorder="1"/>
    <xf numFmtId="0" fontId="1" fillId="8" borderId="40" xfId="0" applyFont="1" applyFill="1" applyBorder="1" applyAlignment="1">
      <alignment horizontal="center"/>
    </xf>
    <xf numFmtId="0" fontId="1" fillId="8" borderId="24" xfId="0" applyFont="1" applyFill="1" applyBorder="1" applyAlignment="1">
      <alignment horizontal="center"/>
    </xf>
    <xf numFmtId="0" fontId="1" fillId="8" borderId="26" xfId="0" applyFont="1" applyFill="1" applyBorder="1" applyAlignment="1">
      <alignment horizontal="center"/>
    </xf>
    <xf numFmtId="2" fontId="0" fillId="0" borderId="12" xfId="0" applyNumberFormat="1" applyBorder="1" applyAlignment="1">
      <alignment horizontal="right"/>
    </xf>
    <xf numFmtId="0" fontId="0" fillId="0" borderId="12" xfId="0" applyBorder="1" applyAlignment="1">
      <alignment horizontal="right"/>
    </xf>
    <xf numFmtId="0" fontId="0" fillId="0" borderId="14" xfId="0" applyBorder="1" applyAlignment="1">
      <alignment horizontal="right"/>
    </xf>
    <xf numFmtId="0" fontId="1" fillId="8" borderId="27" xfId="0" applyFont="1" applyFill="1" applyBorder="1"/>
    <xf numFmtId="0" fontId="1" fillId="8" borderId="29" xfId="0" applyFont="1" applyFill="1" applyBorder="1"/>
    <xf numFmtId="164" fontId="0" fillId="0" borderId="0" xfId="3" applyFont="1"/>
    <xf numFmtId="164" fontId="1" fillId="0" borderId="31" xfId="3" applyFont="1" applyFill="1" applyBorder="1"/>
    <xf numFmtId="164" fontId="3" fillId="0" borderId="31" xfId="3" applyFont="1" applyFill="1" applyBorder="1"/>
    <xf numFmtId="164" fontId="3" fillId="0" borderId="12" xfId="3" applyFont="1" applyFill="1" applyBorder="1"/>
    <xf numFmtId="164" fontId="1" fillId="0" borderId="29" xfId="3" applyFont="1" applyFill="1" applyBorder="1"/>
    <xf numFmtId="0" fontId="5" fillId="21" borderId="27" xfId="0" applyFont="1" applyFill="1" applyBorder="1" applyAlignment="1">
      <alignment horizontal="justify" vertical="center" wrapText="1"/>
    </xf>
    <xf numFmtId="164" fontId="0" fillId="0" borderId="12" xfId="3" applyFont="1" applyBorder="1" applyAlignment="1">
      <alignment horizontal="right" vertical="center" wrapText="1"/>
    </xf>
    <xf numFmtId="164" fontId="5" fillId="10" borderId="31" xfId="3" applyFont="1" applyFill="1" applyBorder="1" applyAlignment="1">
      <alignment horizontal="right" vertical="center" wrapText="1"/>
    </xf>
    <xf numFmtId="164" fontId="5" fillId="0" borderId="12" xfId="3" applyFont="1" applyFill="1" applyBorder="1" applyAlignment="1">
      <alignment horizontal="right" vertical="center" wrapText="1"/>
    </xf>
    <xf numFmtId="164" fontId="0" fillId="0" borderId="12" xfId="3" applyFont="1" applyFill="1" applyBorder="1" applyAlignment="1">
      <alignment horizontal="right" vertical="center" wrapText="1"/>
    </xf>
    <xf numFmtId="164" fontId="0" fillId="21" borderId="28" xfId="3" applyFont="1" applyFill="1" applyBorder="1" applyAlignment="1">
      <alignment horizontal="right" vertical="center" wrapText="1"/>
    </xf>
    <xf numFmtId="164" fontId="12" fillId="21" borderId="29" xfId="3" applyFont="1" applyFill="1" applyBorder="1" applyAlignment="1">
      <alignment horizontal="right" vertical="center" wrapText="1"/>
    </xf>
    <xf numFmtId="164" fontId="1" fillId="21" borderId="0" xfId="3" applyFont="1" applyFill="1"/>
    <xf numFmtId="164" fontId="0" fillId="0" borderId="12" xfId="3" applyFont="1" applyBorder="1"/>
    <xf numFmtId="164" fontId="0" fillId="0" borderId="14" xfId="3" applyFont="1" applyBorder="1"/>
    <xf numFmtId="164" fontId="5" fillId="0" borderId="12" xfId="3" applyFont="1" applyBorder="1"/>
    <xf numFmtId="164" fontId="12" fillId="21" borderId="28" xfId="3" applyFont="1" applyFill="1" applyBorder="1"/>
    <xf numFmtId="164" fontId="5" fillId="0" borderId="31" xfId="3" applyFont="1" applyBorder="1"/>
    <xf numFmtId="164" fontId="12" fillId="22" borderId="53" xfId="3" applyFont="1" applyFill="1" applyBorder="1"/>
    <xf numFmtId="164" fontId="5" fillId="0" borderId="54" xfId="3" applyFont="1" applyBorder="1"/>
    <xf numFmtId="164" fontId="5" fillId="0" borderId="1" xfId="3" applyFont="1" applyBorder="1"/>
    <xf numFmtId="164" fontId="1" fillId="0" borderId="12" xfId="3" applyFont="1" applyBorder="1" applyAlignment="1">
      <alignment horizontal="right" vertical="center" wrapText="1"/>
    </xf>
    <xf numFmtId="164" fontId="0" fillId="0" borderId="31" xfId="3" applyFont="1" applyBorder="1" applyAlignment="1">
      <alignment horizontal="right" vertical="center" wrapText="1"/>
    </xf>
    <xf numFmtId="164" fontId="1" fillId="0" borderId="31" xfId="3" applyFont="1" applyBorder="1" applyAlignment="1">
      <alignment horizontal="right" vertical="center" wrapText="1"/>
    </xf>
    <xf numFmtId="164" fontId="0" fillId="0" borderId="31" xfId="3" applyFont="1" applyBorder="1" applyAlignment="1">
      <alignment vertical="center" wrapText="1"/>
    </xf>
    <xf numFmtId="164" fontId="1" fillId="0" borderId="31" xfId="3" applyFont="1" applyBorder="1" applyAlignment="1">
      <alignment vertical="center" wrapText="1"/>
    </xf>
    <xf numFmtId="164" fontId="0" fillId="3" borderId="12" xfId="3" applyFont="1" applyFill="1" applyBorder="1" applyAlignment="1">
      <alignment horizontal="center" wrapText="1"/>
    </xf>
    <xf numFmtId="164" fontId="1" fillId="0" borderId="28" xfId="3" applyFont="1" applyBorder="1"/>
    <xf numFmtId="164" fontId="1" fillId="0" borderId="12" xfId="3" applyFont="1" applyBorder="1"/>
    <xf numFmtId="164" fontId="0" fillId="0" borderId="31" xfId="3" applyFont="1" applyBorder="1"/>
    <xf numFmtId="164" fontId="1" fillId="0" borderId="29" xfId="3" applyFont="1" applyBorder="1"/>
    <xf numFmtId="164" fontId="0" fillId="0" borderId="28" xfId="3" applyFont="1" applyBorder="1" applyAlignment="1">
      <alignment horizontal="right" vertical="center" wrapText="1"/>
    </xf>
    <xf numFmtId="164" fontId="1" fillId="0" borderId="31" xfId="3" applyFont="1" applyBorder="1"/>
    <xf numFmtId="164" fontId="3" fillId="0" borderId="31" xfId="3" applyFont="1" applyBorder="1" applyAlignment="1">
      <alignment horizontal="right" vertical="center" wrapText="1"/>
    </xf>
    <xf numFmtId="164" fontId="1" fillId="0" borderId="34" xfId="3" applyFont="1" applyBorder="1" applyAlignment="1">
      <alignment horizontal="right" vertical="center" wrapText="1"/>
    </xf>
    <xf numFmtId="164" fontId="3" fillId="0" borderId="12" xfId="3" applyFont="1" applyBorder="1" applyAlignment="1">
      <alignment horizontal="right" vertical="center" wrapText="1"/>
    </xf>
    <xf numFmtId="164" fontId="9" fillId="0" borderId="31" xfId="3" applyFont="1" applyBorder="1" applyAlignment="1">
      <alignment horizontal="right" vertical="center" wrapText="1"/>
    </xf>
    <xf numFmtId="164" fontId="10" fillId="0" borderId="31" xfId="3" applyFont="1" applyBorder="1" applyAlignment="1">
      <alignment horizontal="right" vertical="center" wrapText="1"/>
    </xf>
    <xf numFmtId="164" fontId="9" fillId="0" borderId="12" xfId="3" applyFont="1" applyBorder="1" applyAlignment="1">
      <alignment horizontal="right" vertical="center" wrapText="1"/>
    </xf>
    <xf numFmtId="164" fontId="10" fillId="0" borderId="29" xfId="3" applyFont="1" applyBorder="1" applyAlignment="1">
      <alignment horizontal="right" vertical="center" wrapText="1"/>
    </xf>
    <xf numFmtId="164" fontId="3" fillId="0" borderId="12" xfId="3" applyFont="1" applyBorder="1" applyAlignment="1">
      <alignment horizontal="center"/>
    </xf>
    <xf numFmtId="0" fontId="5" fillId="23" borderId="12" xfId="0" applyFont="1" applyFill="1" applyBorder="1" applyAlignment="1">
      <alignment horizontal="center" vertical="center" wrapText="1"/>
    </xf>
    <xf numFmtId="0" fontId="5" fillId="23" borderId="31" xfId="0" applyFont="1" applyFill="1" applyBorder="1" applyAlignment="1">
      <alignment horizontal="center" vertical="center" wrapText="1"/>
    </xf>
    <xf numFmtId="0" fontId="5" fillId="23" borderId="30" xfId="0" applyFont="1" applyFill="1" applyBorder="1" applyAlignment="1">
      <alignment horizontal="justify" vertical="center" wrapText="1"/>
    </xf>
    <xf numFmtId="49" fontId="0" fillId="0"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23" borderId="12" xfId="0" applyFont="1" applyFill="1" applyBorder="1" applyAlignment="1">
      <alignment horizontal="center" vertical="center" wrapText="1"/>
    </xf>
    <xf numFmtId="49" fontId="0" fillId="23" borderId="12" xfId="0" applyNumberFormat="1" applyFont="1" applyFill="1" applyBorder="1" applyAlignment="1">
      <alignment horizontal="center" vertical="center" wrapText="1"/>
    </xf>
    <xf numFmtId="0" fontId="0" fillId="23" borderId="31" xfId="0" applyFont="1" applyFill="1" applyBorder="1" applyAlignment="1">
      <alignment horizontal="center" vertical="center" wrapText="1"/>
    </xf>
    <xf numFmtId="49" fontId="0" fillId="0" borderId="28" xfId="0" applyNumberFormat="1"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8" xfId="0" applyFill="1" applyBorder="1" applyAlignment="1">
      <alignment horizontal="center" wrapText="1"/>
    </xf>
    <xf numFmtId="0" fontId="0" fillId="0" borderId="28" xfId="0" applyFill="1" applyBorder="1" applyAlignment="1">
      <alignment horizontal="center"/>
    </xf>
    <xf numFmtId="0" fontId="0" fillId="0" borderId="29" xfId="0" applyFill="1" applyBorder="1" applyAlignment="1">
      <alignment horizontal="center"/>
    </xf>
    <xf numFmtId="0" fontId="18" fillId="3" borderId="0" xfId="1" applyFont="1" applyFill="1" applyAlignment="1" applyProtection="1"/>
    <xf numFmtId="164" fontId="0" fillId="0" borderId="12" xfId="3" applyFont="1" applyFill="1" applyBorder="1" applyAlignment="1">
      <alignment horizontal="justify" vertical="center" wrapText="1"/>
    </xf>
    <xf numFmtId="164" fontId="0" fillId="0" borderId="12" xfId="3" applyFont="1" applyBorder="1" applyAlignment="1">
      <alignment horizontal="right"/>
    </xf>
    <xf numFmtId="164" fontId="1" fillId="9" borderId="12" xfId="3" applyFont="1" applyFill="1" applyBorder="1"/>
    <xf numFmtId="0" fontId="13" fillId="2" borderId="0" xfId="0" applyFont="1" applyFill="1" applyAlignment="1"/>
    <xf numFmtId="0" fontId="1" fillId="0" borderId="12" xfId="0" applyFont="1" applyBorder="1" applyAlignment="1">
      <alignment horizontal="right" vertical="top" wrapText="1"/>
    </xf>
    <xf numFmtId="0" fontId="1" fillId="8" borderId="12" xfId="0" applyFont="1" applyFill="1" applyBorder="1" applyAlignment="1">
      <alignment horizontal="center" vertical="center" wrapText="1"/>
    </xf>
    <xf numFmtId="0" fontId="0" fillId="0" borderId="28" xfId="0" applyFont="1" applyBorder="1" applyAlignment="1">
      <alignment horizontal="center" vertical="center" wrapText="1"/>
    </xf>
    <xf numFmtId="0" fontId="1" fillId="8" borderId="12" xfId="0" applyFont="1" applyFill="1" applyBorder="1" applyAlignment="1">
      <alignment horizontal="center" wrapText="1"/>
    </xf>
    <xf numFmtId="0" fontId="1" fillId="8" borderId="31" xfId="0" applyFont="1" applyFill="1" applyBorder="1" applyAlignment="1">
      <alignment horizontal="center" wrapText="1"/>
    </xf>
    <xf numFmtId="0" fontId="1" fillId="8" borderId="26" xfId="0" applyFont="1" applyFill="1" applyBorder="1" applyAlignment="1">
      <alignment horizontal="center" vertical="center" wrapText="1"/>
    </xf>
    <xf numFmtId="0" fontId="0" fillId="0" borderId="0"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2" xfId="0" applyBorder="1" applyAlignment="1">
      <alignment horizontal="left" vertical="top"/>
    </xf>
    <xf numFmtId="0" fontId="0" fillId="0" borderId="0" xfId="0" applyFill="1" applyBorder="1" applyAlignment="1">
      <alignment horizontal="left" vertical="top"/>
    </xf>
    <xf numFmtId="0" fontId="0" fillId="0" borderId="4" xfId="0" applyFill="1" applyBorder="1" applyAlignment="1">
      <alignment horizontal="left" vertical="top"/>
    </xf>
    <xf numFmtId="0" fontId="1" fillId="18" borderId="56" xfId="0" applyFont="1" applyFill="1" applyBorder="1" applyAlignment="1">
      <alignment horizontal="center"/>
    </xf>
    <xf numFmtId="0" fontId="1" fillId="18" borderId="57" xfId="0" applyFont="1" applyFill="1" applyBorder="1" applyAlignment="1">
      <alignment horizontal="center"/>
    </xf>
    <xf numFmtId="0" fontId="1" fillId="18" borderId="58" xfId="0" applyFont="1" applyFill="1" applyBorder="1" applyAlignment="1">
      <alignment horizontal="center"/>
    </xf>
    <xf numFmtId="0" fontId="1" fillId="18" borderId="59" xfId="0" applyFont="1" applyFill="1" applyBorder="1" applyAlignment="1">
      <alignment horizontal="center"/>
    </xf>
    <xf numFmtId="0" fontId="1" fillId="18" borderId="0" xfId="0" applyFont="1" applyFill="1" applyBorder="1" applyAlignment="1">
      <alignment horizontal="center"/>
    </xf>
    <xf numFmtId="0" fontId="1" fillId="18" borderId="4" xfId="0" applyFont="1" applyFill="1" applyBorder="1" applyAlignment="1">
      <alignment horizontal="center"/>
    </xf>
    <xf numFmtId="0" fontId="0" fillId="0" borderId="0" xfId="0" applyFont="1" applyFill="1" applyBorder="1" applyAlignment="1">
      <alignment horizontal="left" vertical="top"/>
    </xf>
    <xf numFmtId="0" fontId="0" fillId="0" borderId="4" xfId="0" applyFont="1" applyFill="1" applyBorder="1" applyAlignment="1">
      <alignment horizontal="left" vertical="top"/>
    </xf>
    <xf numFmtId="0" fontId="1" fillId="0" borderId="4" xfId="0" applyFont="1" applyFill="1" applyBorder="1" applyAlignment="1">
      <alignment horizontal="left" vertical="top"/>
    </xf>
    <xf numFmtId="0" fontId="13" fillId="18" borderId="0" xfId="0" applyFont="1" applyFill="1" applyAlignment="1">
      <alignment horizontal="center"/>
    </xf>
    <xf numFmtId="0" fontId="13" fillId="2" borderId="0" xfId="0" applyFont="1" applyFill="1" applyAlignment="1"/>
    <xf numFmtId="49" fontId="1" fillId="8" borderId="25" xfId="0" applyNumberFormat="1" applyFont="1" applyFill="1" applyBorder="1" applyAlignment="1">
      <alignment horizontal="center"/>
    </xf>
    <xf numFmtId="49" fontId="1" fillId="8" borderId="26" xfId="0" applyNumberFormat="1" applyFont="1" applyFill="1" applyBorder="1" applyAlignment="1">
      <alignment horizontal="center"/>
    </xf>
    <xf numFmtId="49" fontId="1" fillId="8" borderId="40" xfId="0" applyNumberFormat="1" applyFont="1" applyFill="1" applyBorder="1" applyAlignment="1">
      <alignment horizontal="center"/>
    </xf>
    <xf numFmtId="49" fontId="1" fillId="8" borderId="41" xfId="0" applyNumberFormat="1" applyFont="1" applyFill="1" applyBorder="1" applyAlignment="1">
      <alignment horizontal="center"/>
    </xf>
    <xf numFmtId="0" fontId="1" fillId="4" borderId="0" xfId="0" applyFont="1" applyFill="1" applyBorder="1" applyAlignment="1">
      <alignment horizontal="center"/>
    </xf>
    <xf numFmtId="0" fontId="1" fillId="4" borderId="0" xfId="0" applyNumberFormat="1" applyFont="1" applyFill="1" applyBorder="1" applyAlignment="1">
      <alignment horizontal="center"/>
    </xf>
    <xf numFmtId="49" fontId="1" fillId="4" borderId="0" xfId="0" applyNumberFormat="1" applyFont="1" applyFill="1" applyBorder="1" applyAlignment="1">
      <alignment horizontal="center"/>
    </xf>
    <xf numFmtId="49" fontId="1" fillId="3" borderId="0" xfId="0" applyNumberFormat="1" applyFont="1" applyFill="1" applyBorder="1" applyAlignment="1">
      <alignment horizontal="center"/>
    </xf>
    <xf numFmtId="0" fontId="1" fillId="8" borderId="7" xfId="0" applyNumberFormat="1" applyFont="1" applyFill="1" applyBorder="1" applyAlignment="1">
      <alignment horizontal="center"/>
    </xf>
    <xf numFmtId="0" fontId="1" fillId="8" borderId="32" xfId="0" applyNumberFormat="1" applyFont="1" applyFill="1" applyBorder="1" applyAlignment="1">
      <alignment horizontal="center"/>
    </xf>
    <xf numFmtId="49" fontId="1" fillId="8" borderId="33" xfId="0" applyNumberFormat="1" applyFont="1" applyFill="1" applyBorder="1" applyAlignment="1">
      <alignment horizontal="center" wrapText="1"/>
    </xf>
    <xf numFmtId="49" fontId="1" fillId="8" borderId="17" xfId="0" applyNumberFormat="1" applyFont="1" applyFill="1" applyBorder="1" applyAlignment="1">
      <alignment horizontal="center" wrapText="1"/>
    </xf>
    <xf numFmtId="0" fontId="1" fillId="8" borderId="24" xfId="0" applyNumberFormat="1" applyFont="1" applyFill="1" applyBorder="1" applyAlignment="1">
      <alignment horizontal="center"/>
    </xf>
    <xf numFmtId="0" fontId="1" fillId="8" borderId="30" xfId="0" applyNumberFormat="1" applyFont="1" applyFill="1" applyBorder="1" applyAlignment="1">
      <alignment horizontal="center"/>
    </xf>
    <xf numFmtId="49" fontId="1" fillId="8" borderId="25" xfId="0" applyNumberFormat="1" applyFont="1" applyFill="1" applyBorder="1" applyAlignment="1">
      <alignment horizontal="center" wrapText="1"/>
    </xf>
    <xf numFmtId="49" fontId="1" fillId="8" borderId="12" xfId="0" applyNumberFormat="1" applyFont="1" applyFill="1" applyBorder="1" applyAlignment="1">
      <alignment horizontal="center" wrapText="1"/>
    </xf>
    <xf numFmtId="49" fontId="1" fillId="8" borderId="33" xfId="0" applyNumberFormat="1" applyFont="1" applyFill="1" applyBorder="1" applyAlignment="1">
      <alignment horizontal="center" vertical="top" wrapText="1"/>
    </xf>
    <xf numFmtId="49" fontId="1" fillId="8" borderId="17" xfId="0" applyNumberFormat="1" applyFont="1" applyFill="1" applyBorder="1" applyAlignment="1">
      <alignment horizontal="center" vertical="top" wrapText="1"/>
    </xf>
    <xf numFmtId="0" fontId="1" fillId="8" borderId="35" xfId="0" applyFont="1" applyFill="1" applyBorder="1" applyAlignment="1">
      <alignment horizontal="center"/>
    </xf>
    <xf numFmtId="0" fontId="1" fillId="8" borderId="15" xfId="0" applyFont="1" applyFill="1" applyBorder="1" applyAlignment="1">
      <alignment horizontal="center"/>
    </xf>
    <xf numFmtId="0" fontId="1" fillId="8" borderId="36" xfId="0" applyFont="1" applyFill="1" applyBorder="1" applyAlignment="1">
      <alignment horizontal="center"/>
    </xf>
    <xf numFmtId="0" fontId="0" fillId="0" borderId="0" xfId="0" applyFont="1" applyAlignment="1">
      <alignment horizontal="left" vertical="top" wrapText="1"/>
    </xf>
    <xf numFmtId="0" fontId="0" fillId="0" borderId="0" xfId="0" applyFont="1" applyAlignment="1">
      <alignment horizontal="left" vertical="center"/>
    </xf>
    <xf numFmtId="167" fontId="1" fillId="8" borderId="35" xfId="0" applyNumberFormat="1" applyFont="1" applyFill="1" applyBorder="1" applyAlignment="1">
      <alignment horizontal="center" wrapText="1"/>
    </xf>
    <xf numFmtId="167" fontId="1" fillId="8" borderId="15" xfId="0" applyNumberFormat="1" applyFont="1" applyFill="1" applyBorder="1" applyAlignment="1">
      <alignment horizontal="center" wrapText="1"/>
    </xf>
    <xf numFmtId="167" fontId="1" fillId="8" borderId="36" xfId="0" applyNumberFormat="1" applyFont="1" applyFill="1" applyBorder="1" applyAlignment="1">
      <alignment horizontal="center" wrapText="1"/>
    </xf>
    <xf numFmtId="0" fontId="1" fillId="18" borderId="0" xfId="0" applyFont="1" applyFill="1" applyAlignment="1">
      <alignment horizontal="center"/>
    </xf>
    <xf numFmtId="0" fontId="12" fillId="19" borderId="0" xfId="0" applyFont="1" applyFill="1" applyAlignment="1">
      <alignment horizontal="center" wrapText="1"/>
    </xf>
    <xf numFmtId="0" fontId="0" fillId="0" borderId="38" xfId="0" applyFont="1" applyBorder="1" applyAlignment="1">
      <alignment horizontal="left" vertical="top" wrapText="1"/>
    </xf>
    <xf numFmtId="0" fontId="0" fillId="0" borderId="32" xfId="0" applyFont="1" applyBorder="1" applyAlignment="1">
      <alignment horizontal="left" vertical="top" wrapText="1"/>
    </xf>
    <xf numFmtId="0" fontId="1" fillId="8" borderId="46" xfId="0" applyFont="1" applyFill="1" applyBorder="1" applyAlignment="1">
      <alignment horizontal="center" vertical="center" wrapText="1"/>
    </xf>
    <xf numFmtId="0" fontId="1" fillId="8" borderId="47"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32" xfId="0" applyFont="1" applyFill="1" applyBorder="1" applyAlignment="1">
      <alignment horizontal="center" vertical="center" wrapText="1"/>
    </xf>
    <xf numFmtId="0" fontId="1" fillId="8" borderId="25" xfId="0" applyFont="1" applyFill="1" applyBorder="1" applyAlignment="1">
      <alignment horizontal="center"/>
    </xf>
    <xf numFmtId="0" fontId="1" fillId="8" borderId="11"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2" xfId="0" applyFont="1" applyFill="1" applyBorder="1" applyAlignment="1">
      <alignment horizontal="center" vertical="center" wrapText="1"/>
    </xf>
    <xf numFmtId="164" fontId="0" fillId="0" borderId="12" xfId="3" applyFont="1" applyBorder="1" applyAlignment="1">
      <alignment horizontal="right" vertical="center" wrapText="1"/>
    </xf>
    <xf numFmtId="164" fontId="5" fillId="10" borderId="31" xfId="3" applyFont="1" applyFill="1" applyBorder="1" applyAlignment="1">
      <alignment horizontal="right" vertical="center" wrapText="1"/>
    </xf>
    <xf numFmtId="0" fontId="1" fillId="0" borderId="14" xfId="0" applyFont="1" applyBorder="1" applyAlignment="1">
      <alignment horizontal="center"/>
    </xf>
    <xf numFmtId="0" fontId="1" fillId="0" borderId="15" xfId="0" applyFont="1" applyBorder="1" applyAlignment="1">
      <alignment horizontal="center"/>
    </xf>
    <xf numFmtId="0" fontId="1" fillId="0" borderId="16" xfId="0" applyFont="1" applyBorder="1" applyAlignment="1">
      <alignment horizontal="center"/>
    </xf>
    <xf numFmtId="0" fontId="1" fillId="0" borderId="14" xfId="0" applyFont="1" applyBorder="1"/>
    <xf numFmtId="0" fontId="1" fillId="0" borderId="16" xfId="0" applyFont="1" applyBorder="1"/>
    <xf numFmtId="0" fontId="0" fillId="18" borderId="0" xfId="0" applyFont="1" applyFill="1" applyAlignment="1">
      <alignment horizontal="center"/>
    </xf>
    <xf numFmtId="0" fontId="1" fillId="4" borderId="0" xfId="0" applyFont="1" applyFill="1" applyAlignment="1">
      <alignment horizontal="center" wrapText="1"/>
    </xf>
    <xf numFmtId="0" fontId="0" fillId="4" borderId="0" xfId="0" applyFont="1" applyFill="1" applyAlignment="1">
      <alignment horizontal="center" wrapText="1"/>
    </xf>
    <xf numFmtId="0" fontId="12" fillId="4" borderId="0" xfId="0" applyFont="1" applyFill="1" applyBorder="1" applyAlignment="1">
      <alignment horizontal="center"/>
    </xf>
    <xf numFmtId="0" fontId="12" fillId="18" borderId="0" xfId="0" applyFont="1" applyFill="1" applyBorder="1" applyAlignment="1">
      <alignment horizontal="center"/>
    </xf>
    <xf numFmtId="0" fontId="1" fillId="8" borderId="26" xfId="0" applyFont="1" applyFill="1" applyBorder="1" applyAlignment="1">
      <alignment horizontal="center" vertical="top" wrapText="1"/>
    </xf>
    <xf numFmtId="0" fontId="1" fillId="8" borderId="31" xfId="0" applyFont="1" applyFill="1" applyBorder="1" applyAlignment="1">
      <alignment horizontal="center" vertical="top" wrapText="1"/>
    </xf>
    <xf numFmtId="0" fontId="1" fillId="8" borderId="44" xfId="0" applyFont="1" applyFill="1" applyBorder="1" applyAlignment="1">
      <alignment horizontal="center"/>
    </xf>
    <xf numFmtId="0" fontId="1" fillId="8" borderId="45" xfId="0" applyFont="1" applyFill="1" applyBorder="1" applyAlignment="1">
      <alignment horizontal="center"/>
    </xf>
    <xf numFmtId="0" fontId="1" fillId="8" borderId="22" xfId="0" applyFont="1" applyFill="1" applyBorder="1" applyAlignment="1">
      <alignment horizontal="center"/>
    </xf>
    <xf numFmtId="0" fontId="1" fillId="8" borderId="9" xfId="0" applyFont="1" applyFill="1" applyBorder="1" applyAlignment="1">
      <alignment horizontal="center"/>
    </xf>
    <xf numFmtId="0" fontId="1" fillId="8" borderId="33" xfId="0" applyFont="1" applyFill="1" applyBorder="1" applyAlignment="1">
      <alignment horizontal="center"/>
    </xf>
    <xf numFmtId="0" fontId="1" fillId="8" borderId="17" xfId="0" applyFont="1" applyFill="1" applyBorder="1" applyAlignment="1">
      <alignment horizontal="center"/>
    </xf>
    <xf numFmtId="0" fontId="1" fillId="8" borderId="33" xfId="0" applyFont="1" applyFill="1" applyBorder="1" applyAlignment="1">
      <alignment horizontal="center" wrapText="1"/>
    </xf>
    <xf numFmtId="0" fontId="1" fillId="8" borderId="17" xfId="0" applyFont="1" applyFill="1" applyBorder="1" applyAlignment="1">
      <alignment horizontal="center" wrapText="1"/>
    </xf>
    <xf numFmtId="0" fontId="0" fillId="0" borderId="12" xfId="0" applyFont="1" applyBorder="1" applyAlignment="1">
      <alignment horizontal="center" vertical="center" wrapText="1"/>
    </xf>
    <xf numFmtId="0" fontId="0" fillId="0" borderId="28"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4" borderId="0" xfId="0" applyFont="1" applyFill="1" applyAlignment="1">
      <alignment horizontal="center"/>
    </xf>
    <xf numFmtId="0" fontId="0" fillId="0" borderId="31" xfId="0" applyFont="1" applyBorder="1" applyAlignment="1">
      <alignment horizontal="justify" vertical="center" wrapText="1"/>
    </xf>
    <xf numFmtId="0" fontId="0" fillId="0" borderId="29" xfId="0" applyFont="1" applyBorder="1" applyAlignment="1">
      <alignment horizontal="justify" vertical="center" wrapText="1"/>
    </xf>
    <xf numFmtId="0" fontId="0" fillId="0" borderId="38"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11" xfId="0" applyFont="1" applyBorder="1" applyAlignment="1">
      <alignment horizontal="center" vertical="top" wrapText="1"/>
    </xf>
    <xf numFmtId="0" fontId="0" fillId="0" borderId="43" xfId="0" applyFont="1" applyBorder="1" applyAlignment="1">
      <alignment horizontal="center" vertical="top" wrapText="1"/>
    </xf>
    <xf numFmtId="0" fontId="0" fillId="0" borderId="30" xfId="0" applyFont="1" applyBorder="1" applyAlignment="1">
      <alignment horizontal="center" vertical="center" wrapText="1"/>
    </xf>
    <xf numFmtId="0" fontId="0" fillId="0" borderId="27" xfId="0" applyFont="1" applyBorder="1" applyAlignment="1">
      <alignment horizontal="center" vertical="center" wrapText="1"/>
    </xf>
    <xf numFmtId="0" fontId="1" fillId="8" borderId="24" xfId="0" applyFont="1" applyFill="1" applyBorder="1" applyAlignment="1">
      <alignment horizontal="center" vertical="center" wrapText="1"/>
    </xf>
    <xf numFmtId="0" fontId="1" fillId="8" borderId="30" xfId="0" applyFont="1" applyFill="1" applyBorder="1" applyAlignment="1">
      <alignment horizontal="center" vertical="center"/>
    </xf>
    <xf numFmtId="0" fontId="1" fillId="8" borderId="40" xfId="0" applyFont="1" applyFill="1" applyBorder="1" applyAlignment="1">
      <alignment horizontal="center" wrapText="1"/>
    </xf>
    <xf numFmtId="0" fontId="1" fillId="8" borderId="42" xfId="0" applyFont="1" applyFill="1" applyBorder="1" applyAlignment="1">
      <alignment horizontal="center" wrapText="1"/>
    </xf>
    <xf numFmtId="0" fontId="1" fillId="8" borderId="11" xfId="0" applyFont="1" applyFill="1" applyBorder="1" applyAlignment="1">
      <alignment horizontal="center" wrapText="1"/>
    </xf>
    <xf numFmtId="0" fontId="1" fillId="4" borderId="0" xfId="0" applyFont="1" applyFill="1" applyBorder="1" applyAlignment="1">
      <alignment horizontal="center" wrapText="1"/>
    </xf>
    <xf numFmtId="0" fontId="16" fillId="0" borderId="0" xfId="0" applyFont="1" applyFill="1" applyBorder="1" applyAlignment="1">
      <alignment horizontal="center" wrapText="1"/>
    </xf>
    <xf numFmtId="0" fontId="1" fillId="8" borderId="25" xfId="0" applyFont="1" applyFill="1" applyBorder="1" applyAlignment="1">
      <alignment horizontal="center" wrapText="1"/>
    </xf>
    <xf numFmtId="0" fontId="1" fillId="8" borderId="25" xfId="0" applyFont="1" applyFill="1" applyBorder="1"/>
    <xf numFmtId="0" fontId="1" fillId="8" borderId="12" xfId="0" applyFont="1" applyFill="1" applyBorder="1" applyAlignment="1">
      <alignment horizontal="center" wrapText="1"/>
    </xf>
    <xf numFmtId="0" fontId="1" fillId="8" borderId="31" xfId="0" applyFont="1" applyFill="1" applyBorder="1" applyAlignment="1">
      <alignment horizontal="center" wrapText="1"/>
    </xf>
    <xf numFmtId="0" fontId="0" fillId="0" borderId="0" xfId="0" applyFont="1" applyFill="1" applyAlignment="1">
      <alignment horizontal="center"/>
    </xf>
    <xf numFmtId="0" fontId="0" fillId="3" borderId="0" xfId="0" applyFont="1" applyFill="1" applyAlignment="1">
      <alignment horizontal="left" vertical="top" wrapText="1"/>
    </xf>
    <xf numFmtId="0" fontId="1" fillId="8" borderId="24" xfId="0" applyFont="1" applyFill="1" applyBorder="1" applyAlignment="1">
      <alignment horizontal="justify" vertical="center" wrapText="1"/>
    </xf>
    <xf numFmtId="0" fontId="1" fillId="8" borderId="30" xfId="0" applyFont="1" applyFill="1" applyBorder="1" applyAlignment="1">
      <alignment horizontal="justify" vertical="center" wrapText="1"/>
    </xf>
    <xf numFmtId="0" fontId="1" fillId="8" borderId="26" xfId="0" applyFont="1" applyFill="1" applyBorder="1" applyAlignment="1">
      <alignment horizontal="center" vertical="center" wrapText="1"/>
    </xf>
    <xf numFmtId="0" fontId="1" fillId="8" borderId="31" xfId="0" applyFont="1" applyFill="1" applyBorder="1" applyAlignment="1">
      <alignment horizontal="center" vertical="center" wrapText="1"/>
    </xf>
    <xf numFmtId="0" fontId="0" fillId="4" borderId="0" xfId="0" applyFont="1" applyFill="1" applyAlignment="1">
      <alignment horizontal="center"/>
    </xf>
    <xf numFmtId="0" fontId="1" fillId="8" borderId="39" xfId="0" applyFont="1" applyFill="1" applyBorder="1" applyAlignment="1">
      <alignment horizontal="center" vertical="center" wrapText="1"/>
    </xf>
    <xf numFmtId="0" fontId="0" fillId="0" borderId="30" xfId="0" applyFont="1" applyFill="1" applyBorder="1" applyAlignment="1">
      <alignment horizontal="justify" vertical="center" wrapText="1"/>
    </xf>
    <xf numFmtId="0" fontId="0" fillId="0" borderId="30" xfId="0" applyFont="1" applyFill="1" applyBorder="1" applyAlignment="1">
      <alignment horizontal="left" vertical="center" wrapText="1"/>
    </xf>
    <xf numFmtId="0" fontId="13" fillId="4" borderId="0" xfId="0" applyFont="1" applyFill="1" applyBorder="1" applyAlignment="1">
      <alignment horizontal="center" vertical="center"/>
    </xf>
    <xf numFmtId="0" fontId="12" fillId="8" borderId="35" xfId="0" applyFont="1" applyFill="1" applyBorder="1" applyAlignment="1">
      <alignment horizontal="center" vertical="center" wrapText="1"/>
    </xf>
    <xf numFmtId="0" fontId="12" fillId="8" borderId="15" xfId="0" applyFont="1" applyFill="1" applyBorder="1" applyAlignment="1">
      <alignment horizontal="center" vertical="center" wrapText="1"/>
    </xf>
    <xf numFmtId="0" fontId="12" fillId="8" borderId="36" xfId="0" applyFont="1" applyFill="1" applyBorder="1" applyAlignment="1">
      <alignment horizontal="center" vertical="center" wrapText="1"/>
    </xf>
    <xf numFmtId="0" fontId="1" fillId="4"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8" borderId="33" xfId="0" applyFont="1" applyFill="1" applyBorder="1" applyAlignment="1">
      <alignment horizontal="center" vertical="center" wrapText="1"/>
    </xf>
    <xf numFmtId="0" fontId="1" fillId="8" borderId="7" xfId="0" applyFont="1" applyFill="1" applyBorder="1" applyAlignment="1">
      <alignment horizontal="left" vertical="top" wrapText="1"/>
    </xf>
    <xf numFmtId="0" fontId="1" fillId="8" borderId="32" xfId="0" applyFont="1" applyFill="1" applyBorder="1" applyAlignment="1">
      <alignment horizontal="left" vertical="top" wrapText="1"/>
    </xf>
    <xf numFmtId="0" fontId="1" fillId="8" borderId="33" xfId="0" applyFont="1" applyFill="1" applyBorder="1" applyAlignment="1">
      <alignment horizontal="center" vertical="top" wrapText="1"/>
    </xf>
    <xf numFmtId="0" fontId="1" fillId="8" borderId="17" xfId="0" applyFont="1" applyFill="1" applyBorder="1" applyAlignment="1">
      <alignment horizontal="center" vertical="top" wrapText="1"/>
    </xf>
    <xf numFmtId="0" fontId="1" fillId="8" borderId="33" xfId="0" applyFont="1" applyFill="1" applyBorder="1" applyAlignment="1">
      <alignment horizontal="center" vertical="top"/>
    </xf>
    <xf numFmtId="0" fontId="1" fillId="8" borderId="17" xfId="0" applyFont="1" applyFill="1" applyBorder="1" applyAlignment="1">
      <alignment horizontal="center" vertical="top"/>
    </xf>
    <xf numFmtId="0" fontId="1" fillId="8" borderId="14" xfId="0" applyFont="1" applyFill="1" applyBorder="1" applyAlignment="1">
      <alignment horizontal="center"/>
    </xf>
    <xf numFmtId="0" fontId="1" fillId="8" borderId="16" xfId="0" applyFont="1" applyFill="1" applyBorder="1" applyAlignment="1">
      <alignment horizontal="center"/>
    </xf>
    <xf numFmtId="0" fontId="1" fillId="8" borderId="12" xfId="0" applyFont="1" applyFill="1" applyBorder="1" applyAlignment="1">
      <alignment horizontal="justify" vertical="center" wrapText="1"/>
    </xf>
    <xf numFmtId="0" fontId="1" fillId="8" borderId="14"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36" xfId="0" applyFont="1" applyFill="1" applyBorder="1" applyAlignment="1">
      <alignment horizontal="center" vertical="center" wrapText="1"/>
    </xf>
    <xf numFmtId="165" fontId="1" fillId="8" borderId="28" xfId="0" applyNumberFormat="1" applyFont="1" applyFill="1" applyBorder="1" applyAlignment="1">
      <alignment horizontal="center"/>
    </xf>
    <xf numFmtId="165" fontId="1" fillId="8" borderId="50" xfId="0" applyNumberFormat="1" applyFont="1" applyFill="1" applyBorder="1" applyAlignment="1">
      <alignment horizontal="center"/>
    </xf>
    <xf numFmtId="0" fontId="1" fillId="0" borderId="12" xfId="0" applyFont="1" applyFill="1" applyBorder="1" applyAlignment="1">
      <alignment horizontal="right" vertical="top" wrapText="1"/>
    </xf>
    <xf numFmtId="0" fontId="1" fillId="0" borderId="31" xfId="0" applyFont="1" applyFill="1" applyBorder="1" applyAlignment="1">
      <alignment horizontal="center" vertical="center" wrapText="1"/>
    </xf>
    <xf numFmtId="16" fontId="0" fillId="0" borderId="0" xfId="0" applyNumberFormat="1"/>
    <xf numFmtId="16" fontId="0" fillId="0" borderId="14" xfId="0" applyNumberFormat="1" applyBorder="1" applyAlignment="1">
      <alignment horizontal="right"/>
    </xf>
  </cellXfs>
  <cellStyles count="4">
    <cellStyle name="Komma" xfId="3" builtinId="3"/>
    <cellStyle name="Link" xfId="1" builtinId="8"/>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787400</xdr:colOff>
      <xdr:row>84</xdr:row>
      <xdr:rowOff>152400</xdr:rowOff>
    </xdr:from>
    <xdr:to>
      <xdr:col>10</xdr:col>
      <xdr:colOff>229294</xdr:colOff>
      <xdr:row>95</xdr:row>
      <xdr:rowOff>158751</xdr:rowOff>
    </xdr:to>
    <xdr:pic>
      <xdr:nvPicPr>
        <xdr:cNvPr id="2" name="Grafik 1">
          <a:extLst>
            <a:ext uri="{FF2B5EF4-FFF2-40B4-BE49-F238E27FC236}">
              <a16:creationId xmlns:a16="http://schemas.microsoft.com/office/drawing/2014/main" xmlns="" id="{4DA0FD74-595D-504F-ACEE-020D61F17BCB}"/>
            </a:ext>
          </a:extLst>
        </xdr:cNvPr>
        <xdr:cNvPicPr>
          <a:picLocks noChangeAspect="1"/>
        </xdr:cNvPicPr>
      </xdr:nvPicPr>
      <xdr:blipFill>
        <a:blip xmlns:r="http://schemas.openxmlformats.org/officeDocument/2006/relationships" r:embed="rId1"/>
        <a:stretch>
          <a:fillRect/>
        </a:stretch>
      </xdr:blipFill>
      <xdr:spPr>
        <a:xfrm>
          <a:off x="787400" y="18161000"/>
          <a:ext cx="8623721" cy="2101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2"/>
  <sheetViews>
    <sheetView topLeftCell="A2" workbookViewId="0">
      <selection activeCell="D13" sqref="D13"/>
    </sheetView>
  </sheetViews>
  <sheetFormatPr baseColWidth="10" defaultRowHeight="15"/>
  <cols>
    <col min="3" max="3" width="33.140625" bestFit="1" customWidth="1"/>
    <col min="4" max="4" width="47.28515625" customWidth="1"/>
  </cols>
  <sheetData>
    <row r="1" spans="2:7" ht="15.75" thickBot="1"/>
    <row r="2" spans="2:7">
      <c r="B2" s="624" t="s">
        <v>469</v>
      </c>
      <c r="C2" s="625"/>
      <c r="D2" s="626"/>
      <c r="E2" s="55"/>
      <c r="F2" s="55"/>
      <c r="G2" s="55"/>
    </row>
    <row r="3" spans="2:7">
      <c r="B3" s="419" t="s">
        <v>271</v>
      </c>
      <c r="C3" s="420" t="s">
        <v>608</v>
      </c>
      <c r="D3" s="421" t="s">
        <v>272</v>
      </c>
    </row>
    <row r="4" spans="2:7">
      <c r="B4" s="422">
        <v>1</v>
      </c>
      <c r="C4" s="1"/>
      <c r="D4" s="423" t="s">
        <v>273</v>
      </c>
    </row>
    <row r="5" spans="2:7">
      <c r="B5" s="422">
        <v>2</v>
      </c>
      <c r="C5" s="1" t="s">
        <v>623</v>
      </c>
      <c r="D5" s="423" t="s">
        <v>26</v>
      </c>
    </row>
    <row r="6" spans="2:7" ht="30">
      <c r="B6" s="422">
        <v>3</v>
      </c>
      <c r="C6" s="424" t="s">
        <v>491</v>
      </c>
      <c r="D6" s="425" t="s">
        <v>177</v>
      </c>
    </row>
    <row r="7" spans="2:7">
      <c r="B7" s="422">
        <v>4</v>
      </c>
      <c r="C7" s="1" t="s">
        <v>496</v>
      </c>
      <c r="D7" s="423" t="s">
        <v>500</v>
      </c>
    </row>
    <row r="8" spans="2:7">
      <c r="B8" s="422">
        <v>5</v>
      </c>
      <c r="C8" s="426" t="s">
        <v>605</v>
      </c>
      <c r="D8" s="427" t="s">
        <v>493</v>
      </c>
    </row>
    <row r="9" spans="2:7">
      <c r="B9" s="422">
        <v>6</v>
      </c>
      <c r="C9" s="1" t="s">
        <v>487</v>
      </c>
      <c r="D9" s="423" t="s">
        <v>376</v>
      </c>
    </row>
    <row r="10" spans="2:7">
      <c r="B10" s="422">
        <v>7</v>
      </c>
      <c r="C10" s="1" t="s">
        <v>487</v>
      </c>
      <c r="D10" s="423" t="s">
        <v>274</v>
      </c>
    </row>
    <row r="11" spans="2:7">
      <c r="B11" s="422">
        <v>8</v>
      </c>
      <c r="C11" s="1" t="s">
        <v>487</v>
      </c>
      <c r="D11" s="423" t="s">
        <v>146</v>
      </c>
    </row>
    <row r="12" spans="2:7">
      <c r="B12" s="422">
        <v>9</v>
      </c>
      <c r="C12" s="1" t="s">
        <v>492</v>
      </c>
      <c r="D12" s="423" t="s">
        <v>192</v>
      </c>
    </row>
    <row r="13" spans="2:7">
      <c r="B13" s="422">
        <v>10</v>
      </c>
      <c r="C13" s="1" t="s">
        <v>609</v>
      </c>
      <c r="D13" s="423" t="s">
        <v>751</v>
      </c>
    </row>
    <row r="14" spans="2:7">
      <c r="B14" s="422">
        <v>11</v>
      </c>
      <c r="C14" s="1" t="s">
        <v>609</v>
      </c>
      <c r="D14" s="423" t="s">
        <v>340</v>
      </c>
    </row>
    <row r="15" spans="2:7" ht="45">
      <c r="B15" s="422">
        <v>12</v>
      </c>
      <c r="C15" s="428" t="s">
        <v>494</v>
      </c>
      <c r="D15" s="429" t="s">
        <v>408</v>
      </c>
    </row>
    <row r="16" spans="2:7">
      <c r="B16" s="422">
        <v>13</v>
      </c>
      <c r="C16" s="426" t="s">
        <v>495</v>
      </c>
      <c r="D16" s="427" t="s">
        <v>251</v>
      </c>
    </row>
    <row r="17" spans="2:7">
      <c r="B17" s="627" t="s">
        <v>470</v>
      </c>
      <c r="C17" s="628"/>
      <c r="D17" s="629"/>
      <c r="E17" s="55"/>
      <c r="F17" s="55"/>
      <c r="G17" s="55"/>
    </row>
    <row r="18" spans="2:7">
      <c r="B18" s="430" t="s">
        <v>749</v>
      </c>
      <c r="C18" s="630" t="s">
        <v>750</v>
      </c>
      <c r="D18" s="631"/>
      <c r="E18" s="55"/>
      <c r="F18" s="55"/>
      <c r="G18" s="55"/>
    </row>
    <row r="19" spans="2:7">
      <c r="B19" s="430" t="s">
        <v>226</v>
      </c>
      <c r="C19" s="431" t="s">
        <v>477</v>
      </c>
      <c r="D19" s="432"/>
      <c r="E19" s="55"/>
      <c r="F19" s="55"/>
      <c r="G19" s="55"/>
    </row>
    <row r="20" spans="2:7">
      <c r="B20" s="430" t="s">
        <v>182</v>
      </c>
      <c r="C20" s="431" t="s">
        <v>740</v>
      </c>
      <c r="D20" s="432"/>
      <c r="E20" s="55"/>
      <c r="F20" s="55"/>
      <c r="G20" s="55"/>
    </row>
    <row r="21" spans="2:7">
      <c r="B21" s="430" t="s">
        <v>428</v>
      </c>
      <c r="C21" s="630" t="s">
        <v>624</v>
      </c>
      <c r="D21" s="632"/>
      <c r="E21" s="55"/>
      <c r="F21" s="55"/>
      <c r="G21" s="55"/>
    </row>
    <row r="22" spans="2:7">
      <c r="B22" s="422" t="s">
        <v>181</v>
      </c>
      <c r="C22" s="618" t="s">
        <v>476</v>
      </c>
      <c r="D22" s="619"/>
    </row>
    <row r="23" spans="2:7">
      <c r="B23" s="422" t="s">
        <v>475</v>
      </c>
      <c r="C23" s="618" t="s">
        <v>478</v>
      </c>
      <c r="D23" s="619"/>
    </row>
    <row r="24" spans="2:7">
      <c r="B24" s="422" t="s">
        <v>178</v>
      </c>
      <c r="C24" s="618" t="s">
        <v>472</v>
      </c>
      <c r="D24" s="619"/>
    </row>
    <row r="25" spans="2:7">
      <c r="B25" s="422" t="s">
        <v>743</v>
      </c>
      <c r="C25" s="433" t="s">
        <v>744</v>
      </c>
      <c r="D25" s="434"/>
    </row>
    <row r="26" spans="2:7">
      <c r="B26" s="422" t="s">
        <v>342</v>
      </c>
      <c r="C26" s="618" t="s">
        <v>498</v>
      </c>
      <c r="D26" s="619"/>
    </row>
    <row r="27" spans="2:7">
      <c r="B27" s="422" t="s">
        <v>9</v>
      </c>
      <c r="C27" s="618" t="s">
        <v>479</v>
      </c>
      <c r="D27" s="619"/>
    </row>
    <row r="28" spans="2:7">
      <c r="B28" s="422" t="s">
        <v>471</v>
      </c>
      <c r="C28" s="618" t="s">
        <v>473</v>
      </c>
      <c r="D28" s="619"/>
    </row>
    <row r="29" spans="2:7">
      <c r="B29" s="422" t="s">
        <v>474</v>
      </c>
      <c r="C29" s="618" t="s">
        <v>480</v>
      </c>
      <c r="D29" s="619"/>
    </row>
    <row r="30" spans="2:7">
      <c r="B30" s="422" t="s">
        <v>213</v>
      </c>
      <c r="C30" s="618" t="s">
        <v>481</v>
      </c>
      <c r="D30" s="619"/>
    </row>
    <row r="31" spans="2:7">
      <c r="B31" s="422" t="s">
        <v>221</v>
      </c>
      <c r="C31" s="618" t="s">
        <v>482</v>
      </c>
      <c r="D31" s="619"/>
    </row>
    <row r="32" spans="2:7">
      <c r="B32" s="422" t="s">
        <v>738</v>
      </c>
      <c r="C32" s="618" t="s">
        <v>625</v>
      </c>
      <c r="D32" s="619"/>
    </row>
    <row r="33" spans="2:4">
      <c r="B33" s="422" t="s">
        <v>499</v>
      </c>
      <c r="C33" s="622" t="s">
        <v>512</v>
      </c>
      <c r="D33" s="623"/>
    </row>
    <row r="34" spans="2:4">
      <c r="B34" s="422" t="s">
        <v>10</v>
      </c>
      <c r="C34" s="618" t="s">
        <v>483</v>
      </c>
      <c r="D34" s="619"/>
    </row>
    <row r="35" spans="2:4">
      <c r="B35" s="422" t="s">
        <v>180</v>
      </c>
      <c r="C35" s="622" t="s">
        <v>511</v>
      </c>
      <c r="D35" s="623"/>
    </row>
    <row r="36" spans="2:4">
      <c r="B36" s="422" t="s">
        <v>745</v>
      </c>
      <c r="C36" s="435" t="s">
        <v>746</v>
      </c>
      <c r="D36" s="436"/>
    </row>
    <row r="37" spans="2:4">
      <c r="B37" s="422" t="s">
        <v>217</v>
      </c>
      <c r="C37" s="618" t="s">
        <v>485</v>
      </c>
      <c r="D37" s="619"/>
    </row>
    <row r="38" spans="2:4">
      <c r="B38" s="422" t="s">
        <v>739</v>
      </c>
      <c r="C38" s="618" t="s">
        <v>486</v>
      </c>
      <c r="D38" s="619"/>
    </row>
    <row r="39" spans="2:4">
      <c r="B39" s="422" t="s">
        <v>211</v>
      </c>
      <c r="C39" s="618" t="s">
        <v>484</v>
      </c>
      <c r="D39" s="619"/>
    </row>
    <row r="40" spans="2:4">
      <c r="B40" s="422" t="s">
        <v>741</v>
      </c>
      <c r="C40" s="433" t="s">
        <v>742</v>
      </c>
      <c r="D40" s="434"/>
    </row>
    <row r="41" spans="2:4">
      <c r="B41" s="422" t="s">
        <v>212</v>
      </c>
      <c r="C41" s="618" t="s">
        <v>513</v>
      </c>
      <c r="D41" s="619"/>
    </row>
    <row r="42" spans="2:4" ht="15.75" thickBot="1">
      <c r="B42" s="437" t="s">
        <v>747</v>
      </c>
      <c r="C42" s="620" t="s">
        <v>748</v>
      </c>
      <c r="D42" s="621"/>
    </row>
  </sheetData>
  <mergeCells count="22">
    <mergeCell ref="B2:D2"/>
    <mergeCell ref="B17:D17"/>
    <mergeCell ref="C18:D18"/>
    <mergeCell ref="C21:D21"/>
    <mergeCell ref="C22:D22"/>
    <mergeCell ref="C24:D24"/>
    <mergeCell ref="C23:D23"/>
    <mergeCell ref="C27:D27"/>
    <mergeCell ref="C28:D28"/>
    <mergeCell ref="C26:D26"/>
    <mergeCell ref="C29:D29"/>
    <mergeCell ref="C30:D30"/>
    <mergeCell ref="C31:D31"/>
    <mergeCell ref="C32:D32"/>
    <mergeCell ref="C33:D33"/>
    <mergeCell ref="C39:D39"/>
    <mergeCell ref="C42:D42"/>
    <mergeCell ref="C34:D34"/>
    <mergeCell ref="C35:D35"/>
    <mergeCell ref="C37:D37"/>
    <mergeCell ref="C38:D38"/>
    <mergeCell ref="C41:D41"/>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79"/>
  <sheetViews>
    <sheetView topLeftCell="A79" workbookViewId="0">
      <selection activeCell="F19" sqref="F19"/>
    </sheetView>
  </sheetViews>
  <sheetFormatPr baseColWidth="10" defaultRowHeight="15"/>
  <cols>
    <col min="6" max="6" width="13.140625" customWidth="1"/>
    <col min="13" max="13" width="13.42578125" customWidth="1"/>
  </cols>
  <sheetData>
    <row r="2" spans="2:13">
      <c r="B2" s="661" t="s">
        <v>457</v>
      </c>
      <c r="C2" s="661"/>
      <c r="D2" s="661"/>
      <c r="E2" s="661"/>
      <c r="F2" s="661"/>
      <c r="G2" s="55"/>
      <c r="H2" s="55"/>
    </row>
    <row r="3" spans="2:13">
      <c r="B3" s="54"/>
      <c r="C3" s="54"/>
      <c r="D3" s="54"/>
      <c r="E3" s="54"/>
      <c r="F3" s="54"/>
      <c r="G3" s="55"/>
      <c r="H3" s="55"/>
    </row>
    <row r="4" spans="2:13">
      <c r="B4" s="700" t="s">
        <v>456</v>
      </c>
      <c r="C4" s="700"/>
      <c r="D4" s="700"/>
      <c r="E4" s="700"/>
      <c r="F4" s="700"/>
      <c r="G4" s="17"/>
      <c r="H4" s="17"/>
      <c r="I4" s="17"/>
      <c r="J4" s="17"/>
      <c r="K4" s="17"/>
      <c r="L4" s="17"/>
      <c r="M4" s="17"/>
    </row>
    <row r="5" spans="2:13" ht="15.75" thickBot="1">
      <c r="B5" s="17"/>
      <c r="C5" s="17"/>
      <c r="D5" s="17"/>
      <c r="E5" s="17"/>
      <c r="F5" s="17"/>
      <c r="G5" s="17"/>
      <c r="H5" s="17"/>
      <c r="I5" s="17"/>
      <c r="J5" s="17"/>
      <c r="K5" s="17"/>
      <c r="L5" s="17"/>
      <c r="M5" s="17"/>
    </row>
    <row r="6" spans="2:13" ht="31.9" customHeight="1">
      <c r="B6" s="242" t="s">
        <v>275</v>
      </c>
      <c r="C6" s="222" t="s">
        <v>276</v>
      </c>
      <c r="D6" s="222" t="s">
        <v>277</v>
      </c>
      <c r="E6" s="222" t="s">
        <v>254</v>
      </c>
      <c r="F6" s="223" t="s">
        <v>278</v>
      </c>
      <c r="G6" s="17"/>
      <c r="H6" s="721" t="s">
        <v>737</v>
      </c>
      <c r="I6" s="721"/>
      <c r="J6" s="721"/>
      <c r="K6" s="721"/>
      <c r="L6" s="721"/>
      <c r="M6" s="721"/>
    </row>
    <row r="7" spans="2:13" ht="17.25">
      <c r="B7" s="243" t="s">
        <v>0</v>
      </c>
      <c r="C7" s="226" t="s">
        <v>573</v>
      </c>
      <c r="D7" s="226" t="s">
        <v>8</v>
      </c>
      <c r="E7" s="226" t="s">
        <v>8</v>
      </c>
      <c r="F7" s="225" t="s">
        <v>279</v>
      </c>
      <c r="G7" s="17"/>
      <c r="H7" s="721"/>
      <c r="I7" s="721"/>
      <c r="J7" s="721"/>
      <c r="K7" s="721"/>
      <c r="L7" s="721"/>
      <c r="M7" s="721"/>
    </row>
    <row r="8" spans="2:13">
      <c r="B8" s="100" t="s">
        <v>230</v>
      </c>
      <c r="C8" s="18">
        <v>4</v>
      </c>
      <c r="D8" s="18">
        <v>1</v>
      </c>
      <c r="E8" s="18">
        <v>365</v>
      </c>
      <c r="F8" s="586">
        <f>+C8*D8*E8</f>
        <v>1460</v>
      </c>
      <c r="G8" s="17"/>
      <c r="H8" s="721"/>
      <c r="I8" s="721"/>
      <c r="J8" s="721"/>
      <c r="K8" s="721"/>
      <c r="L8" s="721"/>
      <c r="M8" s="721"/>
    </row>
    <row r="9" spans="2:13">
      <c r="B9" s="100" t="s">
        <v>296</v>
      </c>
      <c r="C9" s="18">
        <v>0.3</v>
      </c>
      <c r="D9" s="18">
        <v>1</v>
      </c>
      <c r="E9" s="18">
        <v>365</v>
      </c>
      <c r="F9" s="101">
        <f t="shared" ref="F9:F16" si="0">+C9*D9*E9</f>
        <v>109.5</v>
      </c>
      <c r="G9" s="17"/>
      <c r="H9" s="721"/>
      <c r="I9" s="721"/>
      <c r="J9" s="721"/>
      <c r="K9" s="721"/>
      <c r="L9" s="721"/>
      <c r="M9" s="721"/>
    </row>
    <row r="10" spans="2:13">
      <c r="B10" s="100" t="s">
        <v>13</v>
      </c>
      <c r="C10" s="18">
        <v>2</v>
      </c>
      <c r="D10" s="18">
        <v>1</v>
      </c>
      <c r="E10" s="18">
        <v>365</v>
      </c>
      <c r="F10" s="101">
        <f t="shared" si="0"/>
        <v>730</v>
      </c>
      <c r="G10" s="17"/>
      <c r="H10" s="721"/>
      <c r="I10" s="721"/>
      <c r="J10" s="721"/>
      <c r="K10" s="721"/>
      <c r="L10" s="721"/>
      <c r="M10" s="721"/>
    </row>
    <row r="11" spans="2:13">
      <c r="B11" s="100" t="s">
        <v>280</v>
      </c>
      <c r="C11" s="19">
        <v>3</v>
      </c>
      <c r="D11" s="19">
        <v>1</v>
      </c>
      <c r="E11" s="19">
        <v>365</v>
      </c>
      <c r="F11" s="586">
        <f t="shared" si="0"/>
        <v>1095</v>
      </c>
      <c r="G11" s="17"/>
      <c r="H11" s="721"/>
      <c r="I11" s="721"/>
      <c r="J11" s="721"/>
      <c r="K11" s="721"/>
      <c r="L11" s="721"/>
      <c r="M11" s="721"/>
    </row>
    <row r="12" spans="2:13">
      <c r="B12" s="100" t="s">
        <v>15</v>
      </c>
      <c r="C12" s="18">
        <v>0.3</v>
      </c>
      <c r="D12" s="18">
        <v>1</v>
      </c>
      <c r="E12" s="18">
        <v>365</v>
      </c>
      <c r="F12" s="101">
        <f t="shared" si="0"/>
        <v>109.5</v>
      </c>
      <c r="G12" s="17"/>
      <c r="H12" s="721"/>
      <c r="I12" s="721"/>
      <c r="J12" s="721"/>
      <c r="K12" s="721"/>
      <c r="L12" s="721"/>
      <c r="M12" s="721"/>
    </row>
    <row r="13" spans="2:13">
      <c r="B13" s="100" t="s">
        <v>16</v>
      </c>
      <c r="C13" s="18">
        <v>0.2</v>
      </c>
      <c r="D13" s="18">
        <v>1</v>
      </c>
      <c r="E13" s="18">
        <v>365</v>
      </c>
      <c r="F13" s="101">
        <f t="shared" si="0"/>
        <v>73</v>
      </c>
      <c r="G13" s="17"/>
      <c r="H13" s="721"/>
      <c r="I13" s="721"/>
      <c r="J13" s="721"/>
      <c r="K13" s="721"/>
      <c r="L13" s="721"/>
      <c r="M13" s="721"/>
    </row>
    <row r="14" spans="2:13">
      <c r="B14" s="100" t="s">
        <v>281</v>
      </c>
      <c r="C14" s="18">
        <v>2</v>
      </c>
      <c r="D14" s="18">
        <v>1</v>
      </c>
      <c r="E14" s="18">
        <v>365</v>
      </c>
      <c r="F14" s="101">
        <f t="shared" si="0"/>
        <v>730</v>
      </c>
      <c r="G14" s="17"/>
      <c r="H14" s="721"/>
      <c r="I14" s="721"/>
      <c r="J14" s="721"/>
      <c r="K14" s="721"/>
      <c r="L14" s="721"/>
      <c r="M14" s="721"/>
    </row>
    <row r="15" spans="2:13">
      <c r="B15" s="100" t="s">
        <v>23</v>
      </c>
      <c r="C15" s="18">
        <v>0.15</v>
      </c>
      <c r="D15" s="18">
        <v>10</v>
      </c>
      <c r="E15" s="18">
        <v>365</v>
      </c>
      <c r="F15" s="101">
        <f t="shared" si="0"/>
        <v>547.5</v>
      </c>
      <c r="G15" s="17"/>
      <c r="H15" s="721"/>
      <c r="I15" s="721"/>
      <c r="J15" s="721"/>
      <c r="K15" s="721"/>
      <c r="L15" s="721"/>
      <c r="M15" s="721"/>
    </row>
    <row r="16" spans="2:13">
      <c r="B16" s="102" t="s">
        <v>20</v>
      </c>
      <c r="C16" s="19">
        <v>0.05</v>
      </c>
      <c r="D16" s="19">
        <v>10</v>
      </c>
      <c r="E16" s="19">
        <v>365</v>
      </c>
      <c r="F16" s="103">
        <f t="shared" si="0"/>
        <v>182.5</v>
      </c>
      <c r="G16" s="17"/>
      <c r="H16" s="721"/>
      <c r="I16" s="721"/>
      <c r="J16" s="721"/>
      <c r="K16" s="721"/>
      <c r="L16" s="721"/>
      <c r="M16" s="721"/>
    </row>
    <row r="17" spans="2:22" ht="45">
      <c r="B17" s="104" t="s">
        <v>282</v>
      </c>
      <c r="C17" s="20"/>
      <c r="D17" s="20"/>
      <c r="E17" s="105"/>
      <c r="F17" s="587">
        <f>SUM(F8:F16)</f>
        <v>5037</v>
      </c>
      <c r="G17" s="17"/>
      <c r="H17" s="17"/>
      <c r="I17" s="17"/>
      <c r="J17" s="17"/>
      <c r="K17" s="17"/>
      <c r="L17" s="17"/>
      <c r="M17" s="17"/>
    </row>
    <row r="18" spans="2:22" ht="30">
      <c r="B18" s="243" t="s">
        <v>283</v>
      </c>
      <c r="C18" s="226" t="s">
        <v>284</v>
      </c>
      <c r="D18" s="226" t="s">
        <v>218</v>
      </c>
      <c r="E18" s="226" t="s">
        <v>285</v>
      </c>
      <c r="F18" s="225" t="s">
        <v>286</v>
      </c>
      <c r="G18" s="17"/>
      <c r="H18" s="17"/>
      <c r="I18" s="17"/>
      <c r="J18" s="17"/>
      <c r="K18" s="17"/>
      <c r="L18" s="17"/>
      <c r="M18" s="17"/>
    </row>
    <row r="19" spans="2:22" ht="17.25">
      <c r="B19" s="243" t="s">
        <v>287</v>
      </c>
      <c r="C19" s="226" t="s">
        <v>571</v>
      </c>
      <c r="D19" s="226" t="s">
        <v>9</v>
      </c>
      <c r="E19" s="226" t="s">
        <v>572</v>
      </c>
      <c r="F19" s="613" t="s">
        <v>795</v>
      </c>
      <c r="G19" s="17"/>
      <c r="H19" s="17"/>
      <c r="I19" s="17"/>
      <c r="J19" s="17"/>
      <c r="K19" s="17"/>
      <c r="L19" s="17"/>
      <c r="M19" s="17"/>
    </row>
    <row r="20" spans="2:22">
      <c r="B20" s="100" t="s">
        <v>153</v>
      </c>
      <c r="C20" s="18">
        <v>0</v>
      </c>
      <c r="D20" s="18"/>
      <c r="E20" s="21"/>
      <c r="F20" s="101">
        <f>+C20*D20</f>
        <v>0</v>
      </c>
      <c r="G20" s="17"/>
      <c r="I20" s="17"/>
      <c r="J20" s="17"/>
      <c r="K20" s="17"/>
      <c r="L20" s="17"/>
      <c r="M20" s="17"/>
    </row>
    <row r="21" spans="2:22" ht="30">
      <c r="B21" s="100" t="s">
        <v>184</v>
      </c>
      <c r="C21" s="588">
        <v>5000</v>
      </c>
      <c r="D21" s="18">
        <v>0.1</v>
      </c>
      <c r="E21" s="18" t="s">
        <v>288</v>
      </c>
      <c r="F21" s="101">
        <f t="shared" ref="F21:F30" si="1">+C21*D21</f>
        <v>500</v>
      </c>
      <c r="G21" s="17"/>
      <c r="H21" s="347" t="s">
        <v>685</v>
      </c>
      <c r="I21" s="347"/>
      <c r="J21" s="347"/>
      <c r="K21" s="345"/>
      <c r="L21" s="345"/>
      <c r="M21" s="345"/>
      <c r="N21" s="345"/>
      <c r="O21" s="345"/>
      <c r="P21" s="345"/>
      <c r="Q21" s="345"/>
      <c r="R21" s="345"/>
      <c r="S21" s="345"/>
      <c r="T21" s="345"/>
      <c r="U21" s="345"/>
      <c r="V21" s="345"/>
    </row>
    <row r="22" spans="2:22" ht="30">
      <c r="B22" s="100" t="s">
        <v>195</v>
      </c>
      <c r="C22" s="18">
        <v>0</v>
      </c>
      <c r="D22" s="18"/>
      <c r="E22" s="18"/>
      <c r="F22" s="101">
        <f t="shared" si="1"/>
        <v>0</v>
      </c>
      <c r="G22" s="17"/>
      <c r="H22" s="531" t="s">
        <v>686</v>
      </c>
      <c r="I22" s="345"/>
      <c r="J22" s="345"/>
      <c r="K22" s="345"/>
      <c r="L22" s="345"/>
      <c r="M22" s="345"/>
      <c r="N22" s="345"/>
      <c r="O22" s="345"/>
      <c r="P22" s="345"/>
      <c r="Q22" s="345"/>
      <c r="R22" s="345"/>
      <c r="S22" s="345"/>
      <c r="T22" s="345"/>
      <c r="U22" s="345"/>
      <c r="V22" s="345"/>
    </row>
    <row r="23" spans="2:22">
      <c r="B23" s="100" t="s">
        <v>3</v>
      </c>
      <c r="C23" s="588">
        <v>2500</v>
      </c>
      <c r="D23" s="18">
        <v>0.1</v>
      </c>
      <c r="E23" s="21" t="s">
        <v>289</v>
      </c>
      <c r="F23" s="101">
        <f t="shared" si="1"/>
        <v>250</v>
      </c>
      <c r="G23" s="17"/>
      <c r="H23" s="531" t="s">
        <v>517</v>
      </c>
      <c r="I23" s="345"/>
      <c r="J23" s="345"/>
      <c r="K23" s="345"/>
      <c r="L23" s="345"/>
      <c r="M23" s="345"/>
      <c r="N23" s="345"/>
      <c r="O23" s="345"/>
      <c r="P23" s="345"/>
      <c r="Q23" s="345"/>
      <c r="R23" s="345"/>
      <c r="S23" s="345"/>
      <c r="T23" s="345"/>
      <c r="U23" s="345"/>
      <c r="V23" s="345"/>
    </row>
    <row r="24" spans="2:22">
      <c r="B24" s="100" t="s">
        <v>200</v>
      </c>
      <c r="C24" s="588">
        <v>5000</v>
      </c>
      <c r="D24" s="18">
        <v>0.1</v>
      </c>
      <c r="E24" s="18" t="s">
        <v>290</v>
      </c>
      <c r="F24" s="101">
        <f t="shared" si="1"/>
        <v>500</v>
      </c>
      <c r="G24" s="17"/>
      <c r="H24" s="345" t="s">
        <v>687</v>
      </c>
      <c r="I24" s="345"/>
      <c r="J24" s="345"/>
      <c r="K24" s="345"/>
      <c r="L24" s="345"/>
      <c r="M24" s="345"/>
      <c r="N24" s="345"/>
      <c r="O24" s="345"/>
      <c r="P24" s="345"/>
      <c r="Q24" s="345"/>
      <c r="R24" s="345"/>
      <c r="S24" s="345"/>
      <c r="T24" s="345"/>
      <c r="U24" s="345"/>
      <c r="V24" s="345"/>
    </row>
    <row r="25" spans="2:22">
      <c r="B25" s="100" t="s">
        <v>229</v>
      </c>
      <c r="C25" s="588">
        <v>5000</v>
      </c>
      <c r="D25" s="18">
        <v>0.1</v>
      </c>
      <c r="E25" s="18" t="s">
        <v>290</v>
      </c>
      <c r="F25" s="101">
        <f t="shared" si="1"/>
        <v>500</v>
      </c>
      <c r="G25" s="17"/>
      <c r="H25" s="345"/>
      <c r="I25" s="345"/>
      <c r="J25" s="345"/>
      <c r="K25" s="345"/>
      <c r="L25" s="345"/>
      <c r="M25" s="345"/>
      <c r="N25" s="345"/>
      <c r="O25" s="345"/>
      <c r="P25" s="345"/>
      <c r="Q25" s="345"/>
      <c r="R25" s="345"/>
      <c r="S25" s="345"/>
      <c r="T25" s="345"/>
      <c r="U25" s="345"/>
      <c r="V25" s="345"/>
    </row>
    <row r="26" spans="2:22" ht="15.75">
      <c r="B26" s="100" t="s">
        <v>203</v>
      </c>
      <c r="C26" s="588">
        <v>2500</v>
      </c>
      <c r="D26" s="18">
        <v>0.1</v>
      </c>
      <c r="E26" s="18" t="s">
        <v>290</v>
      </c>
      <c r="F26" s="101">
        <f t="shared" si="1"/>
        <v>250</v>
      </c>
      <c r="G26" s="17"/>
      <c r="H26" s="346"/>
      <c r="I26" s="345"/>
      <c r="J26" s="345"/>
      <c r="K26" s="345"/>
      <c r="L26" s="345"/>
      <c r="M26" s="345"/>
      <c r="N26" s="345"/>
      <c r="O26" s="345"/>
      <c r="P26" s="345"/>
    </row>
    <row r="27" spans="2:22" ht="15.75">
      <c r="B27" s="100" t="s">
        <v>224</v>
      </c>
      <c r="C27" s="588">
        <v>5000</v>
      </c>
      <c r="D27" s="18">
        <v>0.01</v>
      </c>
      <c r="E27" s="18" t="s">
        <v>290</v>
      </c>
      <c r="F27" s="101">
        <f t="shared" si="1"/>
        <v>50</v>
      </c>
      <c r="G27" s="17"/>
      <c r="H27" s="348"/>
      <c r="I27" s="338"/>
      <c r="J27" s="338"/>
      <c r="K27" s="338"/>
      <c r="L27" s="338"/>
      <c r="M27" s="338"/>
      <c r="N27" s="338"/>
      <c r="O27" s="338"/>
      <c r="P27" s="338"/>
    </row>
    <row r="28" spans="2:22">
      <c r="B28" s="100" t="s">
        <v>206</v>
      </c>
      <c r="C28" s="588">
        <v>2500</v>
      </c>
      <c r="D28" s="18">
        <v>0.01</v>
      </c>
      <c r="E28" s="18"/>
      <c r="F28" s="101">
        <f t="shared" si="1"/>
        <v>25</v>
      </c>
      <c r="G28" s="17"/>
      <c r="H28" s="338"/>
      <c r="I28" s="338"/>
      <c r="J28" s="338"/>
      <c r="K28" s="338"/>
      <c r="L28" s="338"/>
      <c r="M28" s="338"/>
      <c r="N28" s="338"/>
      <c r="O28" s="338"/>
      <c r="P28" s="338"/>
    </row>
    <row r="29" spans="2:22">
      <c r="B29" s="100" t="s">
        <v>291</v>
      </c>
      <c r="C29" s="588">
        <v>2500</v>
      </c>
      <c r="D29" s="18">
        <v>0.1</v>
      </c>
      <c r="E29" s="18"/>
      <c r="F29" s="101">
        <f t="shared" si="1"/>
        <v>250</v>
      </c>
      <c r="G29" s="17"/>
      <c r="H29" s="338"/>
      <c r="I29" s="338"/>
      <c r="J29" s="338"/>
      <c r="K29" s="338"/>
      <c r="L29" s="338"/>
      <c r="M29" s="338"/>
      <c r="N29" s="338"/>
      <c r="O29" s="338"/>
      <c r="P29" s="338"/>
    </row>
    <row r="30" spans="2:22">
      <c r="B30" s="106" t="s">
        <v>292</v>
      </c>
      <c r="C30" s="588">
        <v>5000</v>
      </c>
      <c r="D30" s="18">
        <v>0.5</v>
      </c>
      <c r="E30" s="18"/>
      <c r="F30" s="586">
        <f t="shared" si="1"/>
        <v>2500</v>
      </c>
      <c r="G30" s="17"/>
      <c r="H30" s="338"/>
      <c r="I30" s="338"/>
      <c r="J30" s="338"/>
      <c r="K30" s="338"/>
      <c r="L30" s="338"/>
      <c r="M30" s="338"/>
      <c r="N30" s="338"/>
      <c r="O30" s="338"/>
      <c r="P30" s="338"/>
    </row>
    <row r="31" spans="2:22" ht="45">
      <c r="B31" s="104" t="s">
        <v>293</v>
      </c>
      <c r="C31" s="22"/>
      <c r="D31" s="22">
        <f>SUM(D20:D30)</f>
        <v>1.1200000000000001</v>
      </c>
      <c r="E31" s="22"/>
      <c r="F31" s="576">
        <f>SUM(F20:F30)</f>
        <v>4825</v>
      </c>
      <c r="G31" s="17"/>
    </row>
    <row r="32" spans="2:22" ht="30.75" thickBot="1">
      <c r="B32" s="107" t="s">
        <v>294</v>
      </c>
      <c r="C32" s="108"/>
      <c r="D32" s="108"/>
      <c r="E32" s="108"/>
      <c r="F32" s="109">
        <f>+F17-F31</f>
        <v>212</v>
      </c>
      <c r="G32" s="17"/>
      <c r="H32" s="17"/>
      <c r="I32" s="17"/>
      <c r="J32" s="17"/>
      <c r="K32" s="17"/>
      <c r="L32" s="17"/>
      <c r="M32" s="17"/>
    </row>
    <row r="33" spans="2:14">
      <c r="B33" s="17"/>
      <c r="C33" s="17"/>
      <c r="D33" s="17"/>
      <c r="E33" s="17"/>
      <c r="F33" s="17"/>
      <c r="G33" s="17"/>
      <c r="H33" s="17"/>
      <c r="I33" s="17"/>
      <c r="J33" s="17"/>
      <c r="K33" s="17"/>
      <c r="L33" s="17"/>
      <c r="M33" s="17"/>
    </row>
    <row r="34" spans="2:14">
      <c r="B34" s="17"/>
      <c r="C34" s="17"/>
      <c r="D34" s="17"/>
      <c r="E34" s="17"/>
      <c r="F34" s="17"/>
      <c r="G34" s="17"/>
      <c r="H34" s="17"/>
      <c r="I34" s="17"/>
      <c r="J34" s="17"/>
      <c r="K34" s="17"/>
      <c r="L34" s="17"/>
      <c r="M34" s="17"/>
    </row>
    <row r="35" spans="2:14">
      <c r="B35" s="700" t="s">
        <v>518</v>
      </c>
      <c r="C35" s="700"/>
      <c r="D35" s="700"/>
      <c r="E35" s="700"/>
      <c r="F35" s="700"/>
      <c r="G35" s="17"/>
      <c r="H35" s="17"/>
      <c r="I35" s="17"/>
      <c r="J35" s="17"/>
      <c r="K35" s="17"/>
      <c r="L35" s="17"/>
      <c r="M35" s="17"/>
    </row>
    <row r="36" spans="2:14" ht="15.75" thickBot="1">
      <c r="B36" s="17"/>
      <c r="C36" s="17"/>
      <c r="D36" s="17"/>
      <c r="E36" s="17"/>
      <c r="F36" s="17"/>
      <c r="G36" s="17"/>
      <c r="H36" s="17"/>
      <c r="I36" s="17"/>
      <c r="J36" s="17"/>
      <c r="K36" s="17"/>
      <c r="L36" s="17"/>
      <c r="M36" s="17"/>
    </row>
    <row r="37" spans="2:14" ht="30">
      <c r="B37" s="244" t="s">
        <v>295</v>
      </c>
      <c r="C37" s="245" t="s">
        <v>276</v>
      </c>
      <c r="D37" s="245" t="s">
        <v>277</v>
      </c>
      <c r="E37" s="245" t="s">
        <v>254</v>
      </c>
      <c r="F37" s="246" t="s">
        <v>278</v>
      </c>
      <c r="G37" s="17"/>
      <c r="H37" s="720"/>
      <c r="I37" s="720"/>
      <c r="J37" s="720"/>
      <c r="K37" s="720"/>
      <c r="L37" s="720"/>
      <c r="M37" s="720"/>
      <c r="N37" s="720"/>
    </row>
    <row r="38" spans="2:14" ht="17.25">
      <c r="B38" s="247" t="s">
        <v>0</v>
      </c>
      <c r="C38" s="248" t="s">
        <v>576</v>
      </c>
      <c r="D38" s="248" t="s">
        <v>8</v>
      </c>
      <c r="E38" s="248" t="s">
        <v>8</v>
      </c>
      <c r="F38" s="249" t="s">
        <v>221</v>
      </c>
      <c r="G38" s="17"/>
      <c r="H38" s="35"/>
      <c r="I38" s="257"/>
      <c r="J38" s="257"/>
      <c r="K38" s="257"/>
      <c r="L38" s="257"/>
      <c r="M38" s="257"/>
      <c r="N38" s="338"/>
    </row>
    <row r="39" spans="2:14">
      <c r="B39" s="110" t="s">
        <v>230</v>
      </c>
      <c r="C39" s="23">
        <v>16</v>
      </c>
      <c r="D39" s="23">
        <v>1</v>
      </c>
      <c r="E39" s="23">
        <v>365</v>
      </c>
      <c r="F39" s="589">
        <f t="shared" ref="F39:F47" si="2">C39*D39*E39</f>
        <v>5840</v>
      </c>
      <c r="G39" s="17"/>
      <c r="H39" s="17"/>
      <c r="I39" s="17"/>
      <c r="J39" s="17"/>
      <c r="K39" s="17"/>
      <c r="L39" s="17"/>
      <c r="M39" s="17"/>
    </row>
    <row r="40" spans="2:14">
      <c r="B40" s="110" t="s">
        <v>296</v>
      </c>
      <c r="C40" s="23">
        <v>7</v>
      </c>
      <c r="D40" s="23">
        <v>1</v>
      </c>
      <c r="E40" s="23">
        <v>365</v>
      </c>
      <c r="F40" s="589">
        <f t="shared" si="2"/>
        <v>2555</v>
      </c>
      <c r="G40" s="17"/>
      <c r="H40" s="17"/>
      <c r="I40" s="17"/>
      <c r="J40" s="17"/>
      <c r="K40" s="17"/>
      <c r="L40" s="17"/>
      <c r="M40" s="17"/>
    </row>
    <row r="41" spans="2:14">
      <c r="B41" s="110" t="s">
        <v>13</v>
      </c>
      <c r="C41" s="23">
        <v>16</v>
      </c>
      <c r="D41" s="23">
        <v>1</v>
      </c>
      <c r="E41" s="23">
        <v>365</v>
      </c>
      <c r="F41" s="589">
        <f t="shared" si="2"/>
        <v>5840</v>
      </c>
      <c r="G41" s="17"/>
      <c r="H41" s="17"/>
      <c r="I41" s="17"/>
      <c r="J41" s="17"/>
      <c r="K41" s="17"/>
      <c r="L41" s="17"/>
      <c r="M41" s="17"/>
    </row>
    <row r="42" spans="2:14">
      <c r="B42" s="110" t="s">
        <v>280</v>
      </c>
      <c r="C42" s="24">
        <v>16</v>
      </c>
      <c r="D42" s="24">
        <v>1</v>
      </c>
      <c r="E42" s="24">
        <v>365</v>
      </c>
      <c r="F42" s="589">
        <f t="shared" si="2"/>
        <v>5840</v>
      </c>
      <c r="G42" s="17"/>
      <c r="H42" s="17"/>
      <c r="I42" s="17"/>
      <c r="J42" s="17"/>
      <c r="K42" s="17"/>
      <c r="L42" s="17"/>
      <c r="M42" s="17"/>
    </row>
    <row r="43" spans="2:14">
      <c r="B43" s="110" t="s">
        <v>15</v>
      </c>
      <c r="C43" s="23">
        <v>3</v>
      </c>
      <c r="D43" s="23">
        <v>1</v>
      </c>
      <c r="E43" s="23">
        <v>365</v>
      </c>
      <c r="F43" s="589">
        <f t="shared" si="2"/>
        <v>1095</v>
      </c>
      <c r="G43" s="17"/>
      <c r="H43" s="17"/>
      <c r="I43" s="17"/>
      <c r="J43" s="17"/>
      <c r="K43" s="17"/>
      <c r="L43" s="17"/>
      <c r="M43" s="17"/>
    </row>
    <row r="44" spans="2:14">
      <c r="B44" s="110" t="s">
        <v>16</v>
      </c>
      <c r="C44" s="23">
        <v>3</v>
      </c>
      <c r="D44" s="23">
        <v>1</v>
      </c>
      <c r="E44" s="23">
        <v>365</v>
      </c>
      <c r="F44" s="589">
        <f t="shared" si="2"/>
        <v>1095</v>
      </c>
      <c r="G44" s="17"/>
      <c r="H44" s="17"/>
      <c r="I44" s="17"/>
      <c r="J44" s="17"/>
      <c r="K44" s="17"/>
      <c r="L44" s="17"/>
      <c r="M44" s="17"/>
    </row>
    <row r="45" spans="2:14">
      <c r="B45" s="110" t="s">
        <v>281</v>
      </c>
      <c r="C45" s="23">
        <v>7</v>
      </c>
      <c r="D45" s="23">
        <v>1</v>
      </c>
      <c r="E45" s="23">
        <v>365</v>
      </c>
      <c r="F45" s="589">
        <f t="shared" si="2"/>
        <v>2555</v>
      </c>
      <c r="G45" s="17"/>
      <c r="H45" s="17"/>
      <c r="I45" s="17"/>
      <c r="J45" s="17"/>
      <c r="K45" s="17"/>
      <c r="L45" s="17"/>
      <c r="M45" s="17"/>
    </row>
    <row r="46" spans="2:14">
      <c r="B46" s="110" t="s">
        <v>23</v>
      </c>
      <c r="C46" s="23"/>
      <c r="D46" s="23">
        <v>10</v>
      </c>
      <c r="E46" s="23">
        <v>365</v>
      </c>
      <c r="F46" s="349">
        <f t="shared" si="2"/>
        <v>0</v>
      </c>
      <c r="G46" s="17"/>
      <c r="H46" s="17"/>
      <c r="I46" s="17"/>
      <c r="J46" s="17"/>
      <c r="K46" s="17"/>
      <c r="L46" s="17"/>
      <c r="M46" s="17"/>
    </row>
    <row r="47" spans="2:14">
      <c r="B47" s="110" t="s">
        <v>20</v>
      </c>
      <c r="C47" s="24">
        <v>0.08</v>
      </c>
      <c r="D47" s="24">
        <v>10</v>
      </c>
      <c r="E47" s="24">
        <v>365</v>
      </c>
      <c r="F47" s="350">
        <f t="shared" si="2"/>
        <v>292</v>
      </c>
      <c r="G47" s="17"/>
      <c r="H47" s="17"/>
      <c r="I47" s="17"/>
      <c r="J47" s="17"/>
      <c r="K47" s="17"/>
      <c r="L47" s="17"/>
      <c r="M47" s="17"/>
    </row>
    <row r="48" spans="2:14" ht="30">
      <c r="B48" s="111" t="s">
        <v>297</v>
      </c>
      <c r="C48" s="25"/>
      <c r="D48" s="25"/>
      <c r="E48" s="26"/>
      <c r="F48" s="590">
        <f>SUM(F39:F47)</f>
        <v>25112</v>
      </c>
      <c r="G48" s="17"/>
      <c r="H48" s="17"/>
      <c r="I48" s="17"/>
      <c r="J48" s="17"/>
      <c r="K48" s="17"/>
      <c r="L48" s="17"/>
      <c r="M48" s="17"/>
    </row>
    <row r="49" spans="2:13" ht="30">
      <c r="B49" s="247" t="s">
        <v>298</v>
      </c>
      <c r="C49" s="248" t="s">
        <v>284</v>
      </c>
      <c r="D49" s="248" t="s">
        <v>218</v>
      </c>
      <c r="E49" s="248" t="s">
        <v>285</v>
      </c>
      <c r="F49" s="249" t="s">
        <v>286</v>
      </c>
      <c r="G49" s="17"/>
      <c r="H49" s="17"/>
      <c r="I49" s="17"/>
      <c r="J49" s="17"/>
      <c r="K49" s="17"/>
      <c r="L49" s="17"/>
      <c r="M49" s="17"/>
    </row>
    <row r="50" spans="2:13" ht="17.25">
      <c r="B50" s="247" t="s">
        <v>287</v>
      </c>
      <c r="C50" s="248" t="s">
        <v>577</v>
      </c>
      <c r="D50" s="248" t="s">
        <v>9</v>
      </c>
      <c r="E50" s="248" t="s">
        <v>577</v>
      </c>
      <c r="F50" s="249" t="s">
        <v>221</v>
      </c>
      <c r="G50" s="17"/>
      <c r="H50" s="17"/>
      <c r="I50" s="17"/>
      <c r="J50" s="17"/>
      <c r="K50" s="17"/>
      <c r="L50" s="17"/>
      <c r="M50" s="17"/>
    </row>
    <row r="51" spans="2:13">
      <c r="B51" s="110" t="s">
        <v>153</v>
      </c>
      <c r="C51" s="23"/>
      <c r="D51" s="23"/>
      <c r="E51" s="23"/>
      <c r="F51" s="112"/>
      <c r="G51" s="17"/>
      <c r="H51" s="17"/>
      <c r="I51" s="17"/>
      <c r="J51" s="17"/>
      <c r="K51" s="17"/>
      <c r="L51" s="17"/>
      <c r="M51" s="17"/>
    </row>
    <row r="52" spans="2:13" ht="30">
      <c r="B52" s="110" t="s">
        <v>184</v>
      </c>
      <c r="C52" s="591">
        <v>50000</v>
      </c>
      <c r="D52" s="23">
        <v>0.1</v>
      </c>
      <c r="E52" s="23"/>
      <c r="F52" s="589">
        <f>C52*D52</f>
        <v>5000</v>
      </c>
      <c r="G52" s="17"/>
      <c r="H52" s="17"/>
      <c r="I52" s="17"/>
      <c r="J52" s="17"/>
      <c r="K52" s="17"/>
      <c r="L52" s="17"/>
      <c r="M52" s="17"/>
    </row>
    <row r="53" spans="2:13" ht="30">
      <c r="B53" s="110" t="s">
        <v>195</v>
      </c>
      <c r="C53" s="591"/>
      <c r="D53" s="23"/>
      <c r="E53" s="23"/>
      <c r="F53" s="112">
        <f t="shared" ref="F53:F61" si="3">C53*D53</f>
        <v>0</v>
      </c>
      <c r="G53" s="17"/>
      <c r="H53" s="17"/>
      <c r="I53" s="17"/>
      <c r="J53" s="17"/>
      <c r="K53" s="17"/>
      <c r="L53" s="17"/>
      <c r="M53" s="17"/>
    </row>
    <row r="54" spans="2:13">
      <c r="B54" s="110" t="s">
        <v>3</v>
      </c>
      <c r="C54" s="591">
        <v>4000</v>
      </c>
      <c r="D54" s="23">
        <v>0.1</v>
      </c>
      <c r="E54" s="23"/>
      <c r="F54" s="112">
        <f t="shared" si="3"/>
        <v>400</v>
      </c>
      <c r="G54" s="17"/>
      <c r="H54" s="17"/>
      <c r="I54" s="17"/>
      <c r="J54" s="17"/>
      <c r="K54" s="17"/>
      <c r="L54" s="17"/>
      <c r="M54" s="17"/>
    </row>
    <row r="55" spans="2:13">
      <c r="B55" s="110" t="s">
        <v>200</v>
      </c>
      <c r="C55" s="591">
        <v>20000</v>
      </c>
      <c r="D55" s="23">
        <v>0.1</v>
      </c>
      <c r="E55" s="23"/>
      <c r="F55" s="589">
        <f t="shared" si="3"/>
        <v>2000</v>
      </c>
      <c r="G55" s="17"/>
      <c r="H55" s="17"/>
      <c r="I55" s="17"/>
      <c r="J55" s="17"/>
      <c r="K55" s="17"/>
      <c r="L55" s="17"/>
      <c r="M55" s="17"/>
    </row>
    <row r="56" spans="2:13">
      <c r="B56" s="110" t="s">
        <v>229</v>
      </c>
      <c r="C56" s="591">
        <v>100000</v>
      </c>
      <c r="D56" s="23">
        <v>0.1</v>
      </c>
      <c r="E56" s="23"/>
      <c r="F56" s="589">
        <f t="shared" si="3"/>
        <v>10000</v>
      </c>
      <c r="G56" s="17"/>
      <c r="H56" s="17"/>
      <c r="I56" s="17"/>
      <c r="J56" s="17"/>
      <c r="K56" s="17"/>
      <c r="L56" s="17"/>
      <c r="M56" s="17"/>
    </row>
    <row r="57" spans="2:13">
      <c r="B57" s="110" t="s">
        <v>203</v>
      </c>
      <c r="C57" s="591">
        <v>6000</v>
      </c>
      <c r="D57" s="23">
        <v>0.1</v>
      </c>
      <c r="E57" s="23"/>
      <c r="F57" s="112">
        <f t="shared" si="3"/>
        <v>600</v>
      </c>
      <c r="G57" s="17"/>
      <c r="H57" s="17"/>
      <c r="I57" s="17"/>
      <c r="J57" s="17"/>
      <c r="K57" s="17"/>
      <c r="L57" s="17"/>
      <c r="M57" s="17"/>
    </row>
    <row r="58" spans="2:13">
      <c r="B58" s="110" t="s">
        <v>224</v>
      </c>
      <c r="C58" s="23">
        <v>800</v>
      </c>
      <c r="D58" s="23">
        <v>0.01</v>
      </c>
      <c r="E58" s="23"/>
      <c r="F58" s="112">
        <f t="shared" si="3"/>
        <v>8</v>
      </c>
      <c r="G58" s="17"/>
      <c r="H58" s="17"/>
      <c r="I58" s="17"/>
      <c r="J58" s="17"/>
      <c r="K58" s="17"/>
      <c r="L58" s="17"/>
      <c r="M58" s="17"/>
    </row>
    <row r="59" spans="2:13">
      <c r="B59" s="110" t="s">
        <v>206</v>
      </c>
      <c r="C59" s="23">
        <v>400</v>
      </c>
      <c r="D59" s="23">
        <v>0.01</v>
      </c>
      <c r="E59" s="23"/>
      <c r="F59" s="112">
        <f t="shared" si="3"/>
        <v>4</v>
      </c>
      <c r="G59" s="17"/>
      <c r="H59" s="17"/>
      <c r="I59" s="17"/>
      <c r="J59" s="17"/>
      <c r="K59" s="17"/>
      <c r="L59" s="17"/>
      <c r="M59" s="17"/>
    </row>
    <row r="60" spans="2:13">
      <c r="B60" s="110" t="s">
        <v>291</v>
      </c>
      <c r="C60" s="591">
        <v>3000</v>
      </c>
      <c r="D60" s="23">
        <v>0.1</v>
      </c>
      <c r="E60" s="23"/>
      <c r="F60" s="112">
        <f t="shared" si="3"/>
        <v>300</v>
      </c>
      <c r="G60" s="17"/>
      <c r="H60" s="17"/>
      <c r="I60" s="17"/>
      <c r="J60" s="17"/>
      <c r="K60" s="17"/>
      <c r="L60" s="17"/>
      <c r="M60" s="17"/>
    </row>
    <row r="61" spans="2:13">
      <c r="B61" s="113" t="s">
        <v>292</v>
      </c>
      <c r="C61" s="591">
        <v>6000</v>
      </c>
      <c r="D61" s="23">
        <v>0.5</v>
      </c>
      <c r="E61" s="23"/>
      <c r="F61" s="589">
        <f t="shared" si="3"/>
        <v>3000</v>
      </c>
      <c r="G61" s="17"/>
      <c r="H61" s="17"/>
      <c r="I61" s="17"/>
      <c r="J61" s="17"/>
      <c r="K61" s="17"/>
      <c r="L61" s="17"/>
      <c r="M61" s="17"/>
    </row>
    <row r="62" spans="2:13" ht="30">
      <c r="B62" s="111" t="s">
        <v>299</v>
      </c>
      <c r="C62" s="25"/>
      <c r="D62" s="25">
        <f>SUM(D51:D61)</f>
        <v>1.1200000000000001</v>
      </c>
      <c r="E62" s="25"/>
      <c r="F62" s="590">
        <f>SUM(F52:F61)</f>
        <v>21312</v>
      </c>
      <c r="G62" s="17"/>
      <c r="H62" s="17"/>
      <c r="I62" s="17"/>
      <c r="J62" s="17"/>
      <c r="K62" s="17"/>
      <c r="L62" s="17"/>
      <c r="M62" s="17"/>
    </row>
    <row r="63" spans="2:13" ht="30.75" thickBot="1">
      <c r="B63" s="114" t="s">
        <v>300</v>
      </c>
      <c r="C63" s="115"/>
      <c r="D63" s="115"/>
      <c r="E63" s="115"/>
      <c r="F63" s="592">
        <f>F48-F62</f>
        <v>3800</v>
      </c>
      <c r="G63" s="17"/>
      <c r="H63" s="17"/>
      <c r="I63" s="17"/>
      <c r="J63" s="17"/>
      <c r="K63" s="17"/>
      <c r="L63" s="17"/>
      <c r="M63" s="17"/>
    </row>
    <row r="64" spans="2:13">
      <c r="B64" s="17"/>
      <c r="C64" s="17"/>
      <c r="D64" s="17"/>
      <c r="E64" s="17"/>
      <c r="F64" s="17"/>
      <c r="G64" s="17"/>
      <c r="H64" s="17"/>
      <c r="I64" s="17"/>
      <c r="J64" s="17"/>
      <c r="K64" s="17"/>
      <c r="L64" s="17"/>
      <c r="M64" s="17"/>
    </row>
    <row r="65" spans="2:13" ht="31.9" customHeight="1">
      <c r="B65" s="714" t="s">
        <v>519</v>
      </c>
      <c r="C65" s="714"/>
      <c r="D65" s="714"/>
      <c r="E65" s="714"/>
      <c r="F65" s="714"/>
      <c r="G65" s="714"/>
      <c r="H65" s="714"/>
      <c r="I65" s="714"/>
      <c r="J65" s="714"/>
      <c r="K65" s="714"/>
      <c r="L65" s="714"/>
      <c r="M65" s="714"/>
    </row>
    <row r="66" spans="2:13" ht="15.75" thickBot="1">
      <c r="B66" s="56"/>
      <c r="C66" s="56"/>
      <c r="D66" s="56"/>
      <c r="E66" s="56"/>
      <c r="F66" s="56"/>
      <c r="G66" s="56"/>
      <c r="H66" s="56"/>
      <c r="I66" s="56"/>
      <c r="J66" s="56"/>
      <c r="K66" s="56"/>
      <c r="L66" s="56"/>
      <c r="M66" s="56"/>
    </row>
    <row r="67" spans="2:13">
      <c r="B67" s="219"/>
      <c r="C67" s="227" t="s">
        <v>769</v>
      </c>
      <c r="D67" s="716" t="s">
        <v>301</v>
      </c>
      <c r="E67" s="671"/>
      <c r="F67" s="671"/>
      <c r="G67" s="716" t="s">
        <v>302</v>
      </c>
      <c r="H67" s="671"/>
      <c r="I67" s="671"/>
      <c r="J67" s="716" t="s">
        <v>303</v>
      </c>
      <c r="K67" s="716"/>
      <c r="L67" s="716"/>
      <c r="M67" s="228" t="s">
        <v>304</v>
      </c>
    </row>
    <row r="68" spans="2:13" ht="16.5">
      <c r="B68" s="234"/>
      <c r="C68" s="218"/>
      <c r="D68" s="231" t="s">
        <v>305</v>
      </c>
      <c r="E68" s="239" t="s">
        <v>578</v>
      </c>
      <c r="F68" s="239" t="s">
        <v>579</v>
      </c>
      <c r="G68" s="231" t="s">
        <v>305</v>
      </c>
      <c r="H68" s="239" t="s">
        <v>578</v>
      </c>
      <c r="I68" s="239" t="s">
        <v>579</v>
      </c>
      <c r="J68" s="231" t="s">
        <v>305</v>
      </c>
      <c r="K68" s="239" t="s">
        <v>578</v>
      </c>
      <c r="L68" s="239" t="s">
        <v>579</v>
      </c>
      <c r="M68" s="220"/>
    </row>
    <row r="69" spans="2:13">
      <c r="B69" s="110" t="s">
        <v>153</v>
      </c>
      <c r="C69" s="503"/>
      <c r="D69" s="27"/>
      <c r="E69" s="27"/>
      <c r="F69" s="27"/>
      <c r="G69" s="28"/>
      <c r="H69" s="28"/>
      <c r="I69" s="28"/>
      <c r="J69" s="27"/>
      <c r="K69" s="27"/>
      <c r="L69" s="27"/>
      <c r="M69" s="504"/>
    </row>
    <row r="70" spans="2:13" ht="30">
      <c r="B70" s="110" t="s">
        <v>184</v>
      </c>
      <c r="C70" s="593">
        <v>15000</v>
      </c>
      <c r="D70" s="27">
        <v>18</v>
      </c>
      <c r="E70" s="27">
        <v>7</v>
      </c>
      <c r="F70" s="27">
        <v>48</v>
      </c>
      <c r="G70" s="28">
        <f>D70*15</f>
        <v>270</v>
      </c>
      <c r="H70" s="28">
        <f>E70*15</f>
        <v>105</v>
      </c>
      <c r="I70" s="28">
        <f>F70*15</f>
        <v>720</v>
      </c>
      <c r="J70" s="27">
        <v>5.0000000000000001E-3</v>
      </c>
      <c r="K70" s="27">
        <v>2E-3</v>
      </c>
      <c r="L70" s="27">
        <v>6.0000000000000001E-3</v>
      </c>
      <c r="M70" s="504">
        <f>J70*50000</f>
        <v>250</v>
      </c>
    </row>
    <row r="71" spans="2:13" ht="30">
      <c r="B71" s="110" t="s">
        <v>195</v>
      </c>
      <c r="C71" s="593"/>
      <c r="D71" s="27"/>
      <c r="E71" s="27"/>
      <c r="F71" s="27"/>
      <c r="G71" s="28"/>
      <c r="H71" s="28"/>
      <c r="I71" s="28"/>
      <c r="J71" s="27"/>
      <c r="K71" s="27"/>
      <c r="L71" s="27"/>
      <c r="M71" s="504"/>
    </row>
    <row r="72" spans="2:13">
      <c r="B72" s="110" t="s">
        <v>3</v>
      </c>
      <c r="C72" s="593">
        <v>2000</v>
      </c>
      <c r="D72" s="27">
        <v>10</v>
      </c>
      <c r="E72" s="27"/>
      <c r="F72" s="27"/>
      <c r="G72" s="28">
        <v>20</v>
      </c>
      <c r="H72" s="28"/>
      <c r="I72" s="28"/>
      <c r="J72" s="27"/>
      <c r="K72" s="27"/>
      <c r="L72" s="27"/>
      <c r="M72" s="504">
        <f>J70*4000</f>
        <v>20</v>
      </c>
    </row>
    <row r="73" spans="2:13">
      <c r="B73" s="110" t="s">
        <v>200</v>
      </c>
      <c r="C73" s="593">
        <v>5000</v>
      </c>
      <c r="D73" s="27">
        <v>19</v>
      </c>
      <c r="E73" s="27"/>
      <c r="F73" s="27"/>
      <c r="G73" s="28">
        <f>D73*5</f>
        <v>95</v>
      </c>
      <c r="H73" s="28"/>
      <c r="I73" s="28"/>
      <c r="J73" s="27"/>
      <c r="K73" s="27"/>
      <c r="L73" s="27"/>
      <c r="M73" s="504">
        <f>J70*20000</f>
        <v>100</v>
      </c>
    </row>
    <row r="74" spans="2:13">
      <c r="B74" s="110" t="s">
        <v>229</v>
      </c>
      <c r="C74" s="593">
        <v>15000</v>
      </c>
      <c r="D74" s="27">
        <v>34</v>
      </c>
      <c r="E74" s="27"/>
      <c r="F74" s="27"/>
      <c r="G74" s="28">
        <f>D74*15</f>
        <v>510</v>
      </c>
      <c r="H74" s="28"/>
      <c r="I74" s="28"/>
      <c r="J74" s="27"/>
      <c r="K74" s="27"/>
      <c r="L74" s="27"/>
      <c r="M74" s="504">
        <f>J70*100000</f>
        <v>500</v>
      </c>
    </row>
    <row r="75" spans="2:13">
      <c r="B75" s="110" t="s">
        <v>203</v>
      </c>
      <c r="C75" s="593">
        <v>2000</v>
      </c>
      <c r="D75" s="27">
        <v>16</v>
      </c>
      <c r="E75" s="27"/>
      <c r="F75" s="27"/>
      <c r="G75" s="28">
        <v>32</v>
      </c>
      <c r="H75" s="28"/>
      <c r="I75" s="28"/>
      <c r="J75" s="27"/>
      <c r="K75" s="27"/>
      <c r="L75" s="27"/>
      <c r="M75" s="504">
        <f>J70*6000</f>
        <v>30</v>
      </c>
    </row>
    <row r="76" spans="2:13">
      <c r="B76" s="110" t="s">
        <v>224</v>
      </c>
      <c r="C76" s="593">
        <v>10000</v>
      </c>
      <c r="D76" s="27">
        <v>4</v>
      </c>
      <c r="E76" s="27"/>
      <c r="F76" s="27"/>
      <c r="G76" s="28">
        <v>40</v>
      </c>
      <c r="H76" s="28"/>
      <c r="I76" s="28"/>
      <c r="J76" s="27"/>
      <c r="K76" s="27"/>
      <c r="L76" s="27"/>
      <c r="M76" s="504">
        <f>J70*800</f>
        <v>4</v>
      </c>
    </row>
    <row r="77" spans="2:13">
      <c r="B77" s="110" t="s">
        <v>206</v>
      </c>
      <c r="C77" s="593">
        <v>1000</v>
      </c>
      <c r="D77" s="27">
        <v>2</v>
      </c>
      <c r="E77" s="27"/>
      <c r="F77" s="27"/>
      <c r="G77" s="28">
        <v>2</v>
      </c>
      <c r="H77" s="28"/>
      <c r="I77" s="28"/>
      <c r="J77" s="27"/>
      <c r="K77" s="27"/>
      <c r="L77" s="27"/>
      <c r="M77" s="504">
        <f>J70*400</f>
        <v>2</v>
      </c>
    </row>
    <row r="78" spans="2:13">
      <c r="B78" s="110" t="s">
        <v>291</v>
      </c>
      <c r="C78" s="593">
        <v>10000</v>
      </c>
      <c r="D78" s="27">
        <v>15</v>
      </c>
      <c r="E78" s="27"/>
      <c r="F78" s="27"/>
      <c r="G78" s="28">
        <f>D78*10</f>
        <v>150</v>
      </c>
      <c r="H78" s="28"/>
      <c r="I78" s="28"/>
      <c r="J78" s="27"/>
      <c r="K78" s="27"/>
      <c r="L78" s="27"/>
      <c r="M78" s="504">
        <f>J70*3000</f>
        <v>15</v>
      </c>
    </row>
    <row r="79" spans="2:13" ht="45.75" thickBot="1">
      <c r="B79" s="250" t="s">
        <v>306</v>
      </c>
      <c r="C79" s="505">
        <v>350</v>
      </c>
      <c r="D79" s="251">
        <v>32</v>
      </c>
      <c r="E79" s="251"/>
      <c r="F79" s="251"/>
      <c r="G79" s="252">
        <f>D79/3</f>
        <v>10.666666666666666</v>
      </c>
      <c r="H79" s="253"/>
      <c r="I79" s="253"/>
      <c r="J79" s="251"/>
      <c r="K79" s="251"/>
      <c r="L79" s="251"/>
      <c r="M79" s="506">
        <f>J70*6000</f>
        <v>30</v>
      </c>
    </row>
  </sheetData>
  <mergeCells count="9">
    <mergeCell ref="B2:F2"/>
    <mergeCell ref="B4:F4"/>
    <mergeCell ref="J67:L67"/>
    <mergeCell ref="D67:F67"/>
    <mergeCell ref="G67:I67"/>
    <mergeCell ref="B35:F35"/>
    <mergeCell ref="B65:M65"/>
    <mergeCell ref="H37:N37"/>
    <mergeCell ref="H6:M16"/>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2"/>
  <sheetViews>
    <sheetView topLeftCell="A67" zoomScaleNormal="100" workbookViewId="0">
      <selection activeCell="C77" sqref="C77"/>
    </sheetView>
  </sheetViews>
  <sheetFormatPr baseColWidth="10" defaultRowHeight="15"/>
  <cols>
    <col min="2" max="2" width="20.7109375" customWidth="1"/>
    <col min="8" max="8" width="13.140625" customWidth="1"/>
  </cols>
  <sheetData>
    <row r="2" spans="1:14">
      <c r="B2" s="661" t="s">
        <v>497</v>
      </c>
      <c r="C2" s="661"/>
      <c r="D2" s="661"/>
      <c r="E2" s="661"/>
      <c r="F2" s="661"/>
      <c r="G2" s="661"/>
      <c r="H2" s="661"/>
      <c r="I2" s="661"/>
      <c r="J2" s="661"/>
      <c r="K2" s="661"/>
      <c r="L2" s="17"/>
      <c r="M2" s="17"/>
      <c r="N2" s="17"/>
    </row>
    <row r="3" spans="1:14">
      <c r="B3" s="54"/>
      <c r="C3" s="54"/>
      <c r="D3" s="54"/>
      <c r="E3" s="54"/>
      <c r="F3" s="54"/>
      <c r="G3" s="54"/>
      <c r="H3" s="54"/>
      <c r="I3" s="54"/>
      <c r="J3" s="17"/>
      <c r="K3" s="17"/>
      <c r="L3" s="17"/>
      <c r="M3" s="17"/>
      <c r="N3" s="17"/>
    </row>
    <row r="4" spans="1:14">
      <c r="B4" s="700" t="s">
        <v>520</v>
      </c>
      <c r="C4" s="700"/>
      <c r="D4" s="700"/>
      <c r="E4" s="700"/>
      <c r="F4" s="700"/>
      <c r="G4" s="700"/>
      <c r="H4" s="700"/>
      <c r="I4" s="700"/>
      <c r="J4" s="700"/>
      <c r="K4" s="700"/>
      <c r="L4" s="17"/>
      <c r="M4" s="17"/>
      <c r="N4" s="17"/>
    </row>
    <row r="5" spans="1:14" ht="15.75" thickBot="1">
      <c r="B5" s="54"/>
      <c r="C5" s="54"/>
      <c r="D5" s="54"/>
      <c r="E5" s="54"/>
      <c r="F5" s="54"/>
      <c r="G5" s="54"/>
      <c r="H5" s="54"/>
      <c r="I5" s="54"/>
      <c r="J5" s="17"/>
      <c r="K5" s="17"/>
      <c r="L5" s="17"/>
      <c r="M5" s="17"/>
      <c r="N5" s="17"/>
    </row>
    <row r="6" spans="1:14">
      <c r="B6" s="410" t="s">
        <v>307</v>
      </c>
      <c r="C6" s="699" t="s">
        <v>770</v>
      </c>
      <c r="D6" s="699"/>
      <c r="E6" s="699"/>
      <c r="F6" s="699"/>
      <c r="G6" s="699"/>
      <c r="H6" s="699"/>
      <c r="I6" s="699"/>
      <c r="J6" s="699"/>
      <c r="K6" s="724"/>
      <c r="L6" s="17"/>
      <c r="M6" s="17"/>
      <c r="N6" s="17"/>
    </row>
    <row r="7" spans="1:14">
      <c r="B7" s="409"/>
      <c r="C7" s="674" t="s">
        <v>211</v>
      </c>
      <c r="D7" s="674"/>
      <c r="E7" s="674"/>
      <c r="F7" s="674" t="s">
        <v>458</v>
      </c>
      <c r="G7" s="674"/>
      <c r="H7" s="674"/>
      <c r="I7" s="674" t="s">
        <v>459</v>
      </c>
      <c r="J7" s="674"/>
      <c r="K7" s="725"/>
      <c r="L7" s="35"/>
      <c r="M7" s="17"/>
      <c r="N7" s="17"/>
    </row>
    <row r="8" spans="1:14" ht="15.75" thickBot="1">
      <c r="B8" s="409"/>
      <c r="C8" s="411" t="s">
        <v>771</v>
      </c>
      <c r="D8" s="411" t="s">
        <v>772</v>
      </c>
      <c r="E8" s="411" t="s">
        <v>310</v>
      </c>
      <c r="F8" s="411" t="s">
        <v>771</v>
      </c>
      <c r="G8" s="411" t="s">
        <v>772</v>
      </c>
      <c r="H8" s="411" t="s">
        <v>310</v>
      </c>
      <c r="I8" s="411" t="s">
        <v>771</v>
      </c>
      <c r="J8" s="411" t="s">
        <v>772</v>
      </c>
      <c r="K8" s="256" t="s">
        <v>310</v>
      </c>
      <c r="L8" s="17"/>
      <c r="M8" s="17"/>
      <c r="N8" s="17"/>
    </row>
    <row r="9" spans="1:14" ht="18.75">
      <c r="B9" s="117" t="s">
        <v>230</v>
      </c>
      <c r="C9" s="33">
        <v>1.6</v>
      </c>
      <c r="D9" s="33">
        <v>3</v>
      </c>
      <c r="E9" s="116">
        <f>AVERAGE(C9:D9)</f>
        <v>2.2999999999999998</v>
      </c>
      <c r="F9" s="443">
        <f>0.3*M10</f>
        <v>0.68699999999999994</v>
      </c>
      <c r="G9" s="443">
        <f>1*M10</f>
        <v>2.29</v>
      </c>
      <c r="H9" s="444">
        <f>AVERAGE(F9:G9)</f>
        <v>1.4884999999999999</v>
      </c>
      <c r="I9" s="443">
        <f>1.5*M13</f>
        <v>1.7999999999999998</v>
      </c>
      <c r="J9" s="443">
        <f>2*M13</f>
        <v>2.4</v>
      </c>
      <c r="K9" s="445">
        <f>AVERAGE(I9:J9)</f>
        <v>2.0999999999999996</v>
      </c>
      <c r="L9" s="17"/>
      <c r="M9" s="370" t="s">
        <v>585</v>
      </c>
      <c r="N9" s="17"/>
    </row>
    <row r="10" spans="1:14" ht="15.75" thickBot="1">
      <c r="B10" s="117" t="s">
        <v>296</v>
      </c>
      <c r="C10" s="33">
        <v>1.6</v>
      </c>
      <c r="D10" s="33">
        <v>3</v>
      </c>
      <c r="E10" s="116">
        <f t="shared" ref="E10:E19" si="0">AVERAGE(C10:D10)</f>
        <v>2.2999999999999998</v>
      </c>
      <c r="F10" s="443">
        <f>0.3*M10</f>
        <v>0.68699999999999994</v>
      </c>
      <c r="G10" s="443">
        <f>1*M10</f>
        <v>2.29</v>
      </c>
      <c r="H10" s="444">
        <f t="shared" ref="H10:H19" si="1">AVERAGE(F10:G10)</f>
        <v>1.4884999999999999</v>
      </c>
      <c r="I10" s="446">
        <f>1.5*M13</f>
        <v>1.7999999999999998</v>
      </c>
      <c r="J10" s="443">
        <f>2*M13</f>
        <v>2.4</v>
      </c>
      <c r="K10" s="445">
        <f t="shared" ref="K10:K19" si="2">AVERAGE(I10:J10)</f>
        <v>2.0999999999999996</v>
      </c>
      <c r="L10" s="17"/>
      <c r="M10" s="507">
        <v>2.29</v>
      </c>
      <c r="N10" s="17"/>
    </row>
    <row r="11" spans="1:14" ht="15.75" thickBot="1">
      <c r="B11" s="117" t="s">
        <v>13</v>
      </c>
      <c r="C11" s="33">
        <v>1.6</v>
      </c>
      <c r="D11" s="33">
        <v>3</v>
      </c>
      <c r="E11" s="116">
        <f t="shared" si="0"/>
        <v>2.2999999999999998</v>
      </c>
      <c r="F11" s="443">
        <f>0.3*M10</f>
        <v>0.68699999999999994</v>
      </c>
      <c r="G11" s="443">
        <f>1*M10</f>
        <v>2.29</v>
      </c>
      <c r="H11" s="444">
        <f t="shared" si="1"/>
        <v>1.4884999999999999</v>
      </c>
      <c r="I11" s="443">
        <f>1.5*M13</f>
        <v>1.7999999999999998</v>
      </c>
      <c r="J11" s="443">
        <f>2*M13</f>
        <v>2.4</v>
      </c>
      <c r="K11" s="445">
        <f t="shared" si="2"/>
        <v>2.0999999999999996</v>
      </c>
      <c r="L11" s="17"/>
      <c r="M11" s="17"/>
      <c r="N11" s="17"/>
    </row>
    <row r="12" spans="1:14" ht="18.75">
      <c r="B12" s="441" t="s">
        <v>280</v>
      </c>
      <c r="C12" s="442">
        <v>1.6</v>
      </c>
      <c r="D12" s="442">
        <v>3</v>
      </c>
      <c r="E12" s="116">
        <f t="shared" si="0"/>
        <v>2.2999999999999998</v>
      </c>
      <c r="F12" s="443">
        <f>0.3*M10</f>
        <v>0.68699999999999994</v>
      </c>
      <c r="G12" s="443">
        <f>1*M10</f>
        <v>2.29</v>
      </c>
      <c r="H12" s="444">
        <f t="shared" si="1"/>
        <v>1.4884999999999999</v>
      </c>
      <c r="I12" s="443">
        <f>I11</f>
        <v>1.7999999999999998</v>
      </c>
      <c r="J12" s="443">
        <f>J11</f>
        <v>2.4</v>
      </c>
      <c r="K12" s="445">
        <f t="shared" si="2"/>
        <v>2.0999999999999996</v>
      </c>
      <c r="L12" s="17"/>
      <c r="M12" s="370" t="s">
        <v>586</v>
      </c>
      <c r="N12" s="17"/>
    </row>
    <row r="13" spans="1:14" ht="15.75" thickBot="1">
      <c r="A13" s="338"/>
      <c r="B13" s="441" t="s">
        <v>15</v>
      </c>
      <c r="C13" s="442">
        <v>1.6</v>
      </c>
      <c r="D13" s="442">
        <v>2</v>
      </c>
      <c r="E13" s="116">
        <f t="shared" si="0"/>
        <v>1.8</v>
      </c>
      <c r="F13" s="443">
        <f>0.1*M10</f>
        <v>0.22900000000000001</v>
      </c>
      <c r="G13" s="443">
        <f>0.6*M10</f>
        <v>1.3739999999999999</v>
      </c>
      <c r="H13" s="444">
        <f t="shared" si="1"/>
        <v>0.80149999999999999</v>
      </c>
      <c r="I13" s="443">
        <f>0.8*M13</f>
        <v>0.96</v>
      </c>
      <c r="J13" s="443">
        <f>3.5*M13</f>
        <v>4.2</v>
      </c>
      <c r="K13" s="445">
        <f t="shared" si="2"/>
        <v>2.58</v>
      </c>
      <c r="L13" s="17"/>
      <c r="M13" s="507">
        <v>1.2</v>
      </c>
      <c r="N13" s="17"/>
    </row>
    <row r="14" spans="1:14">
      <c r="A14" s="338"/>
      <c r="B14" s="441" t="s">
        <v>16</v>
      </c>
      <c r="C14" s="442">
        <v>1.3</v>
      </c>
      <c r="D14" s="442">
        <v>2.6</v>
      </c>
      <c r="E14" s="116">
        <f t="shared" si="0"/>
        <v>1.9500000000000002</v>
      </c>
      <c r="F14" s="443">
        <f>0.2*M10</f>
        <v>0.45800000000000002</v>
      </c>
      <c r="G14" s="443">
        <f>0.8*M10</f>
        <v>1.8320000000000001</v>
      </c>
      <c r="H14" s="444">
        <f t="shared" si="1"/>
        <v>1.145</v>
      </c>
      <c r="I14" s="443">
        <f>2*M13</f>
        <v>2.4</v>
      </c>
      <c r="J14" s="443">
        <f>6*M13</f>
        <v>7.1999999999999993</v>
      </c>
      <c r="K14" s="445">
        <f t="shared" si="2"/>
        <v>4.8</v>
      </c>
      <c r="L14" s="17"/>
      <c r="M14" s="17"/>
      <c r="N14" s="17"/>
    </row>
    <row r="15" spans="1:14">
      <c r="B15" s="441" t="s">
        <v>281</v>
      </c>
      <c r="C15" s="442">
        <v>1</v>
      </c>
      <c r="D15" s="442">
        <v>2</v>
      </c>
      <c r="E15" s="116">
        <f t="shared" si="0"/>
        <v>1.5</v>
      </c>
      <c r="F15" s="443">
        <v>0.4</v>
      </c>
      <c r="G15" s="443">
        <v>1.8</v>
      </c>
      <c r="H15" s="444">
        <f t="shared" si="1"/>
        <v>1.1000000000000001</v>
      </c>
      <c r="I15" s="443">
        <v>1</v>
      </c>
      <c r="J15" s="443">
        <v>2</v>
      </c>
      <c r="K15" s="445">
        <f t="shared" si="2"/>
        <v>1.5</v>
      </c>
      <c r="L15" s="17"/>
      <c r="M15" s="17"/>
      <c r="N15" s="17"/>
    </row>
    <row r="16" spans="1:14">
      <c r="B16" s="117" t="s">
        <v>311</v>
      </c>
      <c r="C16" s="33">
        <v>1.4</v>
      </c>
      <c r="D16" s="33">
        <v>2.1</v>
      </c>
      <c r="E16" s="116">
        <f t="shared" si="0"/>
        <v>1.75</v>
      </c>
      <c r="F16" s="443">
        <f>0.5*M10</f>
        <v>1.145</v>
      </c>
      <c r="G16" s="443" t="s">
        <v>548</v>
      </c>
      <c r="H16" s="444">
        <f t="shared" si="1"/>
        <v>1.145</v>
      </c>
      <c r="I16" s="443">
        <f>2.8*M13</f>
        <v>3.36</v>
      </c>
      <c r="J16" s="443" t="s">
        <v>548</v>
      </c>
      <c r="K16" s="445">
        <f t="shared" si="2"/>
        <v>3.36</v>
      </c>
      <c r="L16" s="17"/>
      <c r="M16" s="17"/>
      <c r="N16" s="17"/>
    </row>
    <row r="17" spans="2:14">
      <c r="B17" s="117" t="s">
        <v>23</v>
      </c>
      <c r="C17" s="33">
        <v>1</v>
      </c>
      <c r="D17" s="33">
        <v>2</v>
      </c>
      <c r="E17" s="116">
        <f t="shared" si="0"/>
        <v>1.5</v>
      </c>
      <c r="F17" s="443">
        <f>0.6*M10</f>
        <v>1.3739999999999999</v>
      </c>
      <c r="G17" s="443" t="s">
        <v>548</v>
      </c>
      <c r="H17" s="444">
        <f t="shared" si="1"/>
        <v>1.3739999999999999</v>
      </c>
      <c r="I17" s="443">
        <f>1*M13</f>
        <v>1.2</v>
      </c>
      <c r="J17" s="443" t="s">
        <v>548</v>
      </c>
      <c r="K17" s="445">
        <f t="shared" si="2"/>
        <v>1.2</v>
      </c>
      <c r="L17" s="17"/>
      <c r="M17" s="17"/>
      <c r="N17" s="17"/>
    </row>
    <row r="18" spans="2:14">
      <c r="B18" s="117" t="s">
        <v>339</v>
      </c>
      <c r="C18" s="33">
        <v>1</v>
      </c>
      <c r="D18" s="33">
        <v>3.1</v>
      </c>
      <c r="E18" s="116">
        <f t="shared" si="0"/>
        <v>2.0499999999999998</v>
      </c>
      <c r="F18" s="443">
        <f>0.6*M10</f>
        <v>1.3739999999999999</v>
      </c>
      <c r="G18" s="443">
        <f>2.5*M10</f>
        <v>5.7249999999999996</v>
      </c>
      <c r="H18" s="444">
        <f t="shared" si="1"/>
        <v>3.5494999999999997</v>
      </c>
      <c r="I18" s="443">
        <f>0.7*M13</f>
        <v>0.84</v>
      </c>
      <c r="J18" s="443">
        <f>2.5*M13</f>
        <v>3</v>
      </c>
      <c r="K18" s="445">
        <f t="shared" si="2"/>
        <v>1.92</v>
      </c>
      <c r="L18" s="17"/>
      <c r="M18" s="17"/>
      <c r="N18" s="17"/>
    </row>
    <row r="19" spans="2:14" ht="15.75" thickBot="1">
      <c r="B19" s="118" t="s">
        <v>312</v>
      </c>
      <c r="C19" s="119">
        <v>1</v>
      </c>
      <c r="D19" s="119">
        <v>3</v>
      </c>
      <c r="E19" s="120">
        <f t="shared" si="0"/>
        <v>2</v>
      </c>
      <c r="F19" s="447">
        <f>0.3*M10</f>
        <v>0.68699999999999994</v>
      </c>
      <c r="G19" s="447" t="s">
        <v>548</v>
      </c>
      <c r="H19" s="448">
        <f t="shared" si="1"/>
        <v>0.68699999999999994</v>
      </c>
      <c r="I19" s="447">
        <f>4.4*M13</f>
        <v>5.28</v>
      </c>
      <c r="J19" s="447" t="s">
        <v>548</v>
      </c>
      <c r="K19" s="449">
        <f t="shared" si="2"/>
        <v>5.28</v>
      </c>
      <c r="L19" s="17"/>
      <c r="M19" s="17"/>
      <c r="N19" s="17"/>
    </row>
    <row r="20" spans="2:14">
      <c r="B20" s="508"/>
      <c r="C20" s="509"/>
      <c r="D20" s="509"/>
      <c r="E20" s="511"/>
      <c r="F20" s="510"/>
      <c r="G20" s="510"/>
      <c r="H20" s="512"/>
      <c r="I20" s="510"/>
      <c r="J20" s="510"/>
      <c r="K20" s="512"/>
      <c r="L20" s="17"/>
      <c r="M20" s="17"/>
      <c r="N20" s="17"/>
    </row>
    <row r="21" spans="2:14" s="122" customFormat="1">
      <c r="B21" s="293" t="s">
        <v>688</v>
      </c>
      <c r="C21" s="322"/>
      <c r="D21" s="322"/>
      <c r="E21" s="322"/>
      <c r="F21" s="322"/>
      <c r="G21" s="322"/>
      <c r="H21" s="322"/>
      <c r="I21" s="322"/>
      <c r="J21" s="322"/>
      <c r="K21" s="322"/>
      <c r="L21" s="257"/>
      <c r="M21" s="257"/>
      <c r="N21" s="257"/>
    </row>
    <row r="22" spans="2:14" ht="15.75" thickBot="1">
      <c r="B22" s="293"/>
      <c r="C22" s="17"/>
      <c r="D22" s="17"/>
      <c r="E22" s="17"/>
      <c r="F22" s="17"/>
      <c r="G22" s="17"/>
      <c r="H22" s="17"/>
      <c r="I22" s="29"/>
      <c r="J22" s="17"/>
      <c r="K22" s="17"/>
      <c r="L22" s="17"/>
      <c r="M22" s="17"/>
      <c r="N22" s="17"/>
    </row>
    <row r="23" spans="2:14">
      <c r="B23" s="219" t="s">
        <v>549</v>
      </c>
      <c r="C23" s="227" t="s">
        <v>211</v>
      </c>
      <c r="D23" s="227" t="s">
        <v>183</v>
      </c>
      <c r="E23" s="228" t="s">
        <v>214</v>
      </c>
      <c r="F23" s="17"/>
      <c r="G23" s="17"/>
      <c r="H23" s="17"/>
      <c r="I23" s="17"/>
      <c r="J23" s="17"/>
      <c r="K23" s="17"/>
      <c r="L23" s="17"/>
      <c r="M23" s="17"/>
      <c r="N23" s="17"/>
    </row>
    <row r="24" spans="2:14">
      <c r="B24" s="279" t="s">
        <v>313</v>
      </c>
      <c r="C24" s="323" t="s">
        <v>314</v>
      </c>
      <c r="D24" s="323" t="s">
        <v>315</v>
      </c>
      <c r="E24" s="324" t="s">
        <v>316</v>
      </c>
      <c r="F24" s="17"/>
      <c r="G24" s="17"/>
      <c r="H24" s="17"/>
      <c r="I24" s="17"/>
      <c r="J24" s="17"/>
      <c r="K24" s="17"/>
      <c r="L24" s="17"/>
      <c r="M24" s="17"/>
      <c r="N24" s="17"/>
    </row>
    <row r="25" spans="2:14" ht="30">
      <c r="B25" s="280" t="s">
        <v>317</v>
      </c>
      <c r="C25" s="325">
        <v>16</v>
      </c>
      <c r="D25" s="325">
        <v>3.5</v>
      </c>
      <c r="E25" s="326">
        <v>17</v>
      </c>
      <c r="F25" s="17" t="s">
        <v>689</v>
      </c>
      <c r="G25" s="17"/>
      <c r="H25" s="17"/>
      <c r="I25" s="17"/>
      <c r="J25" s="17"/>
      <c r="K25" s="17"/>
      <c r="L25" s="17"/>
      <c r="M25" s="17"/>
      <c r="N25" s="17"/>
    </row>
    <row r="26" spans="2:14">
      <c r="B26" s="106"/>
      <c r="C26" s="327" t="s">
        <v>92</v>
      </c>
      <c r="D26" s="328" t="s">
        <v>318</v>
      </c>
      <c r="E26" s="329" t="s">
        <v>319</v>
      </c>
      <c r="F26" s="30" t="s">
        <v>690</v>
      </c>
      <c r="G26" s="17"/>
      <c r="H26" s="17"/>
      <c r="I26" s="17"/>
      <c r="J26" s="17"/>
      <c r="K26" s="17"/>
      <c r="L26" s="17"/>
      <c r="M26" s="17"/>
      <c r="N26" s="17"/>
    </row>
    <row r="27" spans="2:14" ht="15.75" thickBot="1">
      <c r="B27" s="318"/>
      <c r="C27" s="330">
        <v>19</v>
      </c>
      <c r="D27" s="330">
        <v>3</v>
      </c>
      <c r="E27" s="331">
        <v>18</v>
      </c>
      <c r="F27" t="s">
        <v>691</v>
      </c>
      <c r="G27" s="17"/>
      <c r="H27" s="17"/>
      <c r="I27" s="17"/>
      <c r="J27" s="17"/>
      <c r="K27" s="17"/>
      <c r="L27" s="17"/>
      <c r="M27" s="17"/>
      <c r="N27" s="17"/>
    </row>
    <row r="28" spans="2:14" ht="15.75" thickBot="1">
      <c r="B28" s="17"/>
      <c r="C28" s="17"/>
      <c r="D28" s="17"/>
      <c r="E28" s="17"/>
      <c r="F28" s="17"/>
      <c r="G28" s="17"/>
      <c r="H28" s="17"/>
      <c r="I28" s="17"/>
      <c r="J28" s="17"/>
      <c r="K28" s="17"/>
      <c r="L28" s="17"/>
      <c r="M28" s="17"/>
      <c r="N28" s="17"/>
    </row>
    <row r="29" spans="2:14">
      <c r="B29" s="219" t="s">
        <v>339</v>
      </c>
      <c r="C29" s="236" t="s">
        <v>211</v>
      </c>
      <c r="D29" s="236" t="s">
        <v>183</v>
      </c>
      <c r="E29" s="237" t="s">
        <v>214</v>
      </c>
      <c r="F29" s="17"/>
      <c r="G29" s="17"/>
      <c r="H29" s="17"/>
      <c r="I29" s="17"/>
      <c r="J29" s="17"/>
      <c r="K29" s="17"/>
      <c r="L29" s="17"/>
      <c r="M29" s="17"/>
      <c r="N29" s="17"/>
    </row>
    <row r="30" spans="2:14">
      <c r="B30" s="279" t="s">
        <v>313</v>
      </c>
      <c r="C30" s="323" t="s">
        <v>320</v>
      </c>
      <c r="D30" s="323" t="s">
        <v>321</v>
      </c>
      <c r="E30" s="324" t="s">
        <v>322</v>
      </c>
      <c r="F30" s="17"/>
      <c r="G30" s="17"/>
      <c r="H30" s="17"/>
      <c r="I30" s="17"/>
      <c r="J30" s="17"/>
      <c r="K30" s="17"/>
      <c r="L30" s="17"/>
      <c r="M30" s="17"/>
      <c r="N30" s="17"/>
    </row>
    <row r="31" spans="2:14" ht="30">
      <c r="B31" s="280" t="s">
        <v>323</v>
      </c>
      <c r="C31" s="325">
        <v>10</v>
      </c>
      <c r="D31" s="325">
        <v>10</v>
      </c>
      <c r="E31" s="326">
        <v>7</v>
      </c>
      <c r="F31" s="257" t="s">
        <v>324</v>
      </c>
      <c r="G31" s="17"/>
      <c r="H31" s="17"/>
      <c r="I31" s="17"/>
      <c r="J31" s="17"/>
      <c r="K31" s="17"/>
      <c r="L31" s="17"/>
      <c r="M31" s="17"/>
      <c r="N31" s="17"/>
    </row>
    <row r="32" spans="2:14">
      <c r="B32" s="281"/>
      <c r="C32" s="327" t="s">
        <v>548</v>
      </c>
      <c r="D32" s="327">
        <v>6</v>
      </c>
      <c r="E32" s="329" t="s">
        <v>548</v>
      </c>
      <c r="F32" s="17" t="s">
        <v>692</v>
      </c>
      <c r="G32" s="17"/>
      <c r="H32" s="17"/>
      <c r="I32" s="17"/>
      <c r="J32" s="17"/>
      <c r="K32" s="17"/>
      <c r="L32" s="17"/>
      <c r="M32" s="17"/>
      <c r="N32" s="17"/>
    </row>
    <row r="33" spans="2:14">
      <c r="B33" s="106"/>
      <c r="C33" s="327" t="s">
        <v>325</v>
      </c>
      <c r="D33" s="327" t="s">
        <v>326</v>
      </c>
      <c r="E33" s="513" t="s">
        <v>327</v>
      </c>
      <c r="F33" s="30" t="s">
        <v>690</v>
      </c>
      <c r="G33" s="17"/>
      <c r="H33" s="17"/>
      <c r="I33" s="17"/>
      <c r="J33" s="17"/>
      <c r="K33" s="17"/>
      <c r="L33" s="17"/>
      <c r="M33" s="17"/>
      <c r="N33" s="17"/>
    </row>
    <row r="34" spans="2:14" ht="15.75" thickBot="1">
      <c r="B34" s="131"/>
      <c r="C34" s="330">
        <v>31</v>
      </c>
      <c r="D34" s="330">
        <v>13</v>
      </c>
      <c r="E34" s="514">
        <v>24</v>
      </c>
      <c r="F34" t="s">
        <v>691</v>
      </c>
      <c r="G34" s="17"/>
      <c r="H34" s="17"/>
      <c r="I34" s="17"/>
      <c r="J34" s="17"/>
      <c r="K34" s="17"/>
      <c r="L34" s="17"/>
      <c r="M34" s="17"/>
      <c r="N34" s="17"/>
    </row>
    <row r="35" spans="2:14" ht="15.75" thickBot="1">
      <c r="B35" s="31"/>
      <c r="C35" s="31"/>
      <c r="D35" s="31"/>
      <c r="E35" s="32"/>
      <c r="F35" s="30"/>
      <c r="G35" s="17"/>
      <c r="H35" s="17"/>
      <c r="I35" s="17"/>
      <c r="J35" s="17"/>
      <c r="K35" s="17"/>
      <c r="L35" s="17"/>
      <c r="M35" s="17"/>
      <c r="N35" s="17"/>
    </row>
    <row r="36" spans="2:14">
      <c r="B36" s="219" t="s">
        <v>15</v>
      </c>
      <c r="C36" s="236" t="s">
        <v>211</v>
      </c>
      <c r="D36" s="236" t="s">
        <v>183</v>
      </c>
      <c r="E36" s="237" t="s">
        <v>214</v>
      </c>
      <c r="F36" s="17"/>
      <c r="G36" s="17"/>
      <c r="H36" s="17"/>
      <c r="I36" s="17"/>
      <c r="J36" s="17"/>
      <c r="K36" s="17"/>
      <c r="L36" s="17"/>
      <c r="M36" s="17"/>
      <c r="N36" s="17"/>
    </row>
    <row r="37" spans="2:14">
      <c r="B37" s="279" t="s">
        <v>313</v>
      </c>
      <c r="C37" s="323" t="s">
        <v>328</v>
      </c>
      <c r="D37" s="323" t="s">
        <v>329</v>
      </c>
      <c r="E37" s="324" t="s">
        <v>330</v>
      </c>
      <c r="F37" s="17"/>
      <c r="G37" s="17"/>
      <c r="H37" s="17"/>
      <c r="I37" s="17"/>
      <c r="J37" s="17"/>
      <c r="K37" s="17"/>
      <c r="L37" s="17"/>
      <c r="M37" s="17"/>
      <c r="N37" s="17"/>
    </row>
    <row r="38" spans="2:14" ht="30">
      <c r="B38" s="280" t="s">
        <v>331</v>
      </c>
      <c r="C38" s="325">
        <v>16</v>
      </c>
      <c r="D38" s="325">
        <v>2</v>
      </c>
      <c r="E38" s="326">
        <v>8</v>
      </c>
      <c r="F38" s="257" t="s">
        <v>324</v>
      </c>
      <c r="G38" s="17"/>
      <c r="H38" s="17"/>
      <c r="I38" s="17"/>
      <c r="J38" s="17"/>
      <c r="K38" s="17"/>
      <c r="L38" s="17"/>
      <c r="M38" s="17"/>
      <c r="N38" s="17"/>
    </row>
    <row r="39" spans="2:14">
      <c r="B39" s="281"/>
      <c r="C39" s="327">
        <v>16</v>
      </c>
      <c r="D39" s="327">
        <v>1</v>
      </c>
      <c r="E39" s="329" t="s">
        <v>548</v>
      </c>
      <c r="F39" t="s">
        <v>693</v>
      </c>
      <c r="G39" s="17"/>
      <c r="H39" s="17"/>
      <c r="I39" s="17"/>
      <c r="J39" s="17"/>
      <c r="K39" s="17"/>
      <c r="L39" s="17"/>
      <c r="M39" s="17"/>
      <c r="N39" s="17"/>
    </row>
    <row r="40" spans="2:14">
      <c r="B40" s="106"/>
      <c r="C40" s="327">
        <v>20</v>
      </c>
      <c r="D40" s="327">
        <v>6</v>
      </c>
      <c r="E40" s="329">
        <v>13</v>
      </c>
      <c r="F40" s="17" t="s">
        <v>694</v>
      </c>
      <c r="G40" s="17"/>
      <c r="H40" s="17"/>
      <c r="I40" s="17"/>
      <c r="J40" s="17"/>
      <c r="K40" s="17"/>
      <c r="L40" s="17"/>
      <c r="M40" s="17"/>
      <c r="N40" s="17"/>
    </row>
    <row r="41" spans="2:14" ht="15.75" thickBot="1">
      <c r="B41" s="131"/>
      <c r="C41" s="515">
        <v>19</v>
      </c>
      <c r="D41" s="515">
        <v>6</v>
      </c>
      <c r="E41" s="331">
        <v>34</v>
      </c>
      <c r="F41" t="s">
        <v>691</v>
      </c>
      <c r="G41" s="17"/>
      <c r="H41" s="17"/>
      <c r="I41" s="17"/>
      <c r="J41" s="17"/>
      <c r="K41" s="17"/>
      <c r="L41" s="17"/>
      <c r="M41" s="17"/>
      <c r="N41" s="17"/>
    </row>
    <row r="42" spans="2:14" ht="15.75" thickBot="1">
      <c r="B42" s="17"/>
      <c r="C42" s="17"/>
      <c r="D42" s="17"/>
      <c r="E42" s="17"/>
      <c r="F42" s="17"/>
      <c r="G42" s="17"/>
      <c r="H42" s="17"/>
      <c r="I42" s="17"/>
      <c r="J42" s="17"/>
      <c r="K42" s="17"/>
      <c r="L42" s="17"/>
      <c r="M42" s="17"/>
      <c r="N42" s="17"/>
    </row>
    <row r="43" spans="2:14">
      <c r="B43" s="219" t="s">
        <v>16</v>
      </c>
      <c r="C43" s="236" t="s">
        <v>211</v>
      </c>
      <c r="D43" s="236" t="s">
        <v>183</v>
      </c>
      <c r="E43" s="237" t="s">
        <v>214</v>
      </c>
      <c r="F43" s="17"/>
      <c r="G43" s="17"/>
      <c r="H43" s="17"/>
      <c r="I43" s="17"/>
      <c r="J43" s="17"/>
      <c r="K43" s="17"/>
      <c r="L43" s="17"/>
      <c r="M43" s="17"/>
      <c r="N43" s="17"/>
    </row>
    <row r="44" spans="2:14">
      <c r="B44" s="279" t="s">
        <v>313</v>
      </c>
      <c r="C44" s="323" t="s">
        <v>332</v>
      </c>
      <c r="D44" s="323" t="s">
        <v>333</v>
      </c>
      <c r="E44" s="516" t="s">
        <v>334</v>
      </c>
      <c r="F44" s="17"/>
      <c r="G44" s="17"/>
      <c r="H44" s="17"/>
      <c r="I44" s="17"/>
      <c r="J44" s="17"/>
      <c r="K44" s="17"/>
      <c r="L44" s="17"/>
      <c r="M44" s="17"/>
      <c r="N44" s="17"/>
    </row>
    <row r="45" spans="2:14">
      <c r="B45" s="280" t="s">
        <v>335</v>
      </c>
      <c r="C45" s="325">
        <v>13</v>
      </c>
      <c r="D45" s="325">
        <v>2</v>
      </c>
      <c r="E45" s="326">
        <v>20</v>
      </c>
      <c r="F45" s="257" t="s">
        <v>324</v>
      </c>
      <c r="G45" s="17"/>
      <c r="H45" s="17"/>
      <c r="I45" s="17"/>
      <c r="J45" s="17"/>
      <c r="K45" s="17"/>
      <c r="L45" s="17"/>
      <c r="M45" s="17"/>
      <c r="N45" s="17"/>
    </row>
    <row r="46" spans="2:14">
      <c r="B46" s="106"/>
      <c r="C46" s="327">
        <v>25</v>
      </c>
      <c r="D46" s="327">
        <v>2.4</v>
      </c>
      <c r="E46" s="329">
        <v>23</v>
      </c>
      <c r="F46" t="s">
        <v>695</v>
      </c>
      <c r="G46" s="17"/>
      <c r="H46" s="17"/>
      <c r="I46" s="17"/>
      <c r="J46" s="17"/>
      <c r="K46" s="17"/>
      <c r="L46" s="17"/>
      <c r="M46" s="17"/>
      <c r="N46" s="17"/>
    </row>
    <row r="47" spans="2:14">
      <c r="B47" s="106"/>
      <c r="C47" s="327">
        <v>26</v>
      </c>
      <c r="D47" s="327">
        <v>4</v>
      </c>
      <c r="E47" s="329">
        <v>46</v>
      </c>
      <c r="F47" s="15" t="s">
        <v>696</v>
      </c>
      <c r="G47" s="17"/>
      <c r="H47" s="17"/>
      <c r="I47" s="17"/>
      <c r="J47" s="17"/>
      <c r="K47" s="17"/>
      <c r="L47" s="17"/>
      <c r="M47" s="17"/>
      <c r="N47" s="17"/>
    </row>
    <row r="48" spans="2:14" ht="15.75" thickBot="1">
      <c r="B48" s="131"/>
      <c r="C48" s="515">
        <v>22</v>
      </c>
      <c r="D48" s="515">
        <v>8</v>
      </c>
      <c r="E48" s="517">
        <v>59</v>
      </c>
      <c r="F48" t="s">
        <v>691</v>
      </c>
      <c r="G48" s="17"/>
      <c r="H48" s="17"/>
      <c r="I48" s="17"/>
      <c r="J48" s="17"/>
      <c r="K48" s="17"/>
      <c r="L48" s="17"/>
      <c r="M48" s="17"/>
      <c r="N48" s="17"/>
    </row>
    <row r="49" spans="2:14" ht="15.75" thickBot="1">
      <c r="B49" s="17"/>
      <c r="C49" s="17"/>
      <c r="D49" s="17"/>
      <c r="E49" s="17"/>
      <c r="F49" s="17"/>
      <c r="G49" s="17"/>
      <c r="H49" s="17"/>
      <c r="I49" s="17"/>
      <c r="J49" s="17"/>
      <c r="K49" s="17"/>
      <c r="L49" s="17"/>
      <c r="M49" s="17"/>
      <c r="N49" s="17"/>
    </row>
    <row r="50" spans="2:14">
      <c r="B50" s="219" t="s">
        <v>312</v>
      </c>
      <c r="C50" s="236" t="s">
        <v>211</v>
      </c>
      <c r="D50" s="236" t="s">
        <v>183</v>
      </c>
      <c r="E50" s="237" t="s">
        <v>214</v>
      </c>
      <c r="F50" s="17"/>
      <c r="G50" s="17"/>
      <c r="H50" s="17"/>
      <c r="I50" s="17"/>
      <c r="J50" s="17"/>
      <c r="K50" s="17"/>
      <c r="L50" s="17"/>
      <c r="M50" s="17"/>
      <c r="N50" s="17"/>
    </row>
    <row r="51" spans="2:14">
      <c r="B51" s="279" t="s">
        <v>313</v>
      </c>
      <c r="C51" s="518">
        <v>1.8</v>
      </c>
      <c r="D51" s="518">
        <v>0.3</v>
      </c>
      <c r="E51" s="519">
        <v>4.4000000000000004</v>
      </c>
      <c r="F51" s="17"/>
      <c r="G51" s="17"/>
      <c r="H51" s="17"/>
      <c r="I51" s="17"/>
      <c r="J51" s="17"/>
      <c r="K51" s="17"/>
      <c r="L51" s="17"/>
      <c r="M51" s="17"/>
      <c r="N51" s="17"/>
    </row>
    <row r="52" spans="2:14" ht="15.75" thickBot="1">
      <c r="B52" s="282" t="s">
        <v>336</v>
      </c>
      <c r="C52" s="520">
        <v>18</v>
      </c>
      <c r="D52" s="520">
        <v>3</v>
      </c>
      <c r="E52" s="521">
        <v>44</v>
      </c>
      <c r="F52" s="15" t="s">
        <v>697</v>
      </c>
      <c r="G52" s="17"/>
      <c r="H52" s="17"/>
      <c r="I52" s="17"/>
      <c r="J52" s="17"/>
      <c r="K52" s="17"/>
      <c r="L52" s="17"/>
      <c r="M52" s="17"/>
      <c r="N52" s="17"/>
    </row>
    <row r="53" spans="2:14" ht="15.75" thickBot="1">
      <c r="B53" s="17"/>
      <c r="C53" s="17"/>
      <c r="D53" s="17"/>
      <c r="E53" s="17"/>
      <c r="F53" s="17"/>
      <c r="G53" s="17"/>
      <c r="H53" s="17"/>
      <c r="I53" s="17"/>
      <c r="J53" s="17"/>
      <c r="K53" s="17"/>
      <c r="L53" s="17"/>
      <c r="M53" s="17"/>
      <c r="N53" s="17"/>
    </row>
    <row r="54" spans="2:14">
      <c r="B54" s="219" t="s">
        <v>23</v>
      </c>
      <c r="C54" s="227" t="s">
        <v>211</v>
      </c>
      <c r="D54" s="227" t="s">
        <v>183</v>
      </c>
      <c r="E54" s="228" t="s">
        <v>214</v>
      </c>
      <c r="F54" s="17"/>
      <c r="G54" s="17"/>
      <c r="H54" s="17"/>
      <c r="I54" s="17"/>
      <c r="J54" s="17"/>
      <c r="K54" s="17"/>
      <c r="L54" s="17"/>
      <c r="M54" s="17"/>
      <c r="N54" s="17"/>
    </row>
    <row r="55" spans="2:14">
      <c r="B55" s="279" t="s">
        <v>313</v>
      </c>
      <c r="C55" s="518">
        <v>1</v>
      </c>
      <c r="D55" s="518">
        <v>0.6</v>
      </c>
      <c r="E55" s="519">
        <v>1</v>
      </c>
      <c r="F55" s="17"/>
      <c r="G55" s="17"/>
      <c r="H55" s="17"/>
      <c r="I55" s="17"/>
      <c r="J55" s="17"/>
      <c r="K55" s="17"/>
      <c r="L55" s="17"/>
      <c r="M55" s="17"/>
      <c r="N55" s="17"/>
    </row>
    <row r="56" spans="2:14" ht="30">
      <c r="B56" s="280" t="s">
        <v>337</v>
      </c>
      <c r="C56" s="522">
        <v>10</v>
      </c>
      <c r="D56" s="522">
        <v>6</v>
      </c>
      <c r="E56" s="523">
        <v>10</v>
      </c>
      <c r="F56" s="17" t="s">
        <v>698</v>
      </c>
      <c r="G56" s="17"/>
      <c r="H56" s="17"/>
      <c r="I56" s="17"/>
      <c r="J56" s="17"/>
      <c r="K56" s="17"/>
      <c r="L56" s="17"/>
      <c r="M56" s="17"/>
      <c r="N56" s="17"/>
    </row>
    <row r="57" spans="2:14" ht="15.75" thickBot="1">
      <c r="B57" s="131"/>
      <c r="C57" s="524">
        <v>18</v>
      </c>
      <c r="D57" s="524">
        <v>9</v>
      </c>
      <c r="E57" s="525">
        <v>18</v>
      </c>
      <c r="F57" t="s">
        <v>691</v>
      </c>
      <c r="G57" s="17"/>
      <c r="H57" s="17"/>
      <c r="I57" s="17"/>
      <c r="J57" s="17"/>
      <c r="K57" s="17"/>
      <c r="L57" s="17"/>
      <c r="M57" s="17"/>
      <c r="N57" s="17"/>
    </row>
    <row r="58" spans="2:14" ht="15.75" thickBot="1">
      <c r="B58" s="17"/>
      <c r="C58" s="17"/>
      <c r="D58" s="17"/>
      <c r="E58" s="17"/>
      <c r="F58" s="17"/>
      <c r="G58" s="17"/>
      <c r="H58" s="17"/>
      <c r="I58" s="17"/>
      <c r="J58" s="17"/>
      <c r="K58" s="17"/>
      <c r="L58" s="17"/>
      <c r="M58" s="17"/>
      <c r="N58" s="17"/>
    </row>
    <row r="59" spans="2:14">
      <c r="B59" s="219" t="s">
        <v>311</v>
      </c>
      <c r="C59" s="227" t="s">
        <v>211</v>
      </c>
      <c r="D59" s="227" t="s">
        <v>183</v>
      </c>
      <c r="E59" s="228" t="s">
        <v>214</v>
      </c>
      <c r="F59" s="17"/>
      <c r="G59" s="17"/>
      <c r="H59" s="17"/>
      <c r="I59" s="17"/>
      <c r="J59" s="17"/>
      <c r="K59" s="17"/>
      <c r="L59" s="17"/>
      <c r="M59" s="17"/>
      <c r="N59" s="17"/>
    </row>
    <row r="60" spans="2:14">
      <c r="B60" s="279" t="s">
        <v>313</v>
      </c>
      <c r="C60" s="518">
        <v>1.4</v>
      </c>
      <c r="D60" s="518">
        <v>0.5</v>
      </c>
      <c r="E60" s="519">
        <v>2.8</v>
      </c>
      <c r="F60" s="17"/>
      <c r="G60" s="17"/>
      <c r="H60" s="17"/>
      <c r="I60" s="17"/>
      <c r="J60" s="17"/>
      <c r="K60" s="17"/>
      <c r="L60" s="17"/>
      <c r="M60" s="17"/>
      <c r="N60" s="17"/>
    </row>
    <row r="61" spans="2:14" ht="30">
      <c r="B61" s="280" t="s">
        <v>338</v>
      </c>
      <c r="C61" s="522">
        <v>14</v>
      </c>
      <c r="D61" s="522">
        <v>5</v>
      </c>
      <c r="E61" s="523">
        <v>28</v>
      </c>
      <c r="F61" s="17" t="s">
        <v>698</v>
      </c>
      <c r="G61" s="17"/>
      <c r="H61" s="17"/>
      <c r="I61" s="17"/>
      <c r="J61" s="17"/>
      <c r="K61" s="17"/>
      <c r="L61" s="17"/>
      <c r="M61" s="17"/>
      <c r="N61" s="17"/>
    </row>
    <row r="62" spans="2:14" ht="15.75" thickBot="1">
      <c r="B62" s="131"/>
      <c r="C62" s="524">
        <v>21</v>
      </c>
      <c r="D62" s="524">
        <v>8</v>
      </c>
      <c r="E62" s="525">
        <v>41</v>
      </c>
      <c r="F62" t="s">
        <v>691</v>
      </c>
      <c r="G62" s="17"/>
      <c r="H62" s="17"/>
      <c r="I62" s="17"/>
      <c r="J62" s="17"/>
      <c r="K62" s="17"/>
      <c r="L62" s="17"/>
      <c r="M62" s="17"/>
      <c r="N62" s="17"/>
    </row>
    <row r="63" spans="2:14">
      <c r="B63" s="17"/>
      <c r="C63" s="17"/>
      <c r="D63" s="17"/>
      <c r="E63" s="17"/>
      <c r="F63" s="17"/>
      <c r="G63" s="17"/>
      <c r="H63" s="17"/>
      <c r="I63" s="17"/>
      <c r="J63" s="17"/>
      <c r="K63" s="17"/>
      <c r="L63" s="17"/>
      <c r="M63" s="17"/>
      <c r="N63" s="17"/>
    </row>
    <row r="64" spans="2:14">
      <c r="B64" s="700" t="s">
        <v>521</v>
      </c>
      <c r="C64" s="700"/>
      <c r="D64" s="700"/>
      <c r="E64" s="700"/>
      <c r="F64" s="700"/>
      <c r="G64" s="700"/>
      <c r="H64" s="700"/>
      <c r="I64" s="700"/>
      <c r="J64" s="700"/>
      <c r="K64" s="700"/>
      <c r="L64" s="700"/>
      <c r="M64" s="700"/>
      <c r="N64" s="700"/>
    </row>
    <row r="65" spans="2:14" ht="15.75" thickBot="1"/>
    <row r="66" spans="2:14" ht="16.149999999999999" customHeight="1">
      <c r="B66" s="722" t="s">
        <v>209</v>
      </c>
      <c r="C66" s="699" t="s">
        <v>522</v>
      </c>
      <c r="D66" s="699"/>
      <c r="E66" s="699" t="s">
        <v>732</v>
      </c>
      <c r="F66" s="699"/>
      <c r="G66" s="699"/>
      <c r="H66" s="699"/>
      <c r="I66" s="699"/>
      <c r="J66" s="699"/>
      <c r="K66" s="699"/>
      <c r="L66" s="699"/>
      <c r="M66" s="699"/>
      <c r="N66" s="724"/>
    </row>
    <row r="67" spans="2:14" ht="16.149999999999999" customHeight="1">
      <c r="B67" s="723"/>
      <c r="C67" s="674"/>
      <c r="D67" s="674"/>
      <c r="E67" s="674" t="s">
        <v>733</v>
      </c>
      <c r="F67" s="674"/>
      <c r="G67" s="674"/>
      <c r="H67" s="674"/>
      <c r="I67" s="674"/>
      <c r="J67" s="674"/>
      <c r="K67" s="674"/>
      <c r="L67" s="674"/>
      <c r="M67" s="674"/>
      <c r="N67" s="725"/>
    </row>
    <row r="68" spans="2:14" ht="16.149999999999999" customHeight="1">
      <c r="B68" s="723"/>
      <c r="C68" s="674" t="s">
        <v>148</v>
      </c>
      <c r="D68" s="674"/>
      <c r="E68" s="674" t="s">
        <v>523</v>
      </c>
      <c r="F68" s="674"/>
      <c r="G68" s="674" t="s">
        <v>734</v>
      </c>
      <c r="H68" s="674"/>
      <c r="I68" s="674" t="s">
        <v>458</v>
      </c>
      <c r="J68" s="674"/>
      <c r="K68" s="674" t="s">
        <v>459</v>
      </c>
      <c r="L68" s="674"/>
      <c r="M68" s="674" t="s">
        <v>216</v>
      </c>
      <c r="N68" s="725"/>
    </row>
    <row r="69" spans="2:14">
      <c r="B69" s="596" t="s">
        <v>524</v>
      </c>
      <c r="C69" s="594" t="s">
        <v>370</v>
      </c>
      <c r="D69" s="594" t="s">
        <v>525</v>
      </c>
      <c r="E69" s="594" t="s">
        <v>370</v>
      </c>
      <c r="F69" s="594" t="s">
        <v>525</v>
      </c>
      <c r="G69" s="594" t="s">
        <v>370</v>
      </c>
      <c r="H69" s="594" t="s">
        <v>525</v>
      </c>
      <c r="I69" s="594" t="s">
        <v>370</v>
      </c>
      <c r="J69" s="594" t="s">
        <v>525</v>
      </c>
      <c r="K69" s="594" t="s">
        <v>370</v>
      </c>
      <c r="L69" s="594" t="s">
        <v>525</v>
      </c>
      <c r="M69" s="594" t="s">
        <v>370</v>
      </c>
      <c r="N69" s="595" t="s">
        <v>525</v>
      </c>
    </row>
    <row r="70" spans="2:14">
      <c r="B70" s="415" t="s">
        <v>13</v>
      </c>
      <c r="C70" s="382" t="s">
        <v>526</v>
      </c>
      <c r="D70" s="382">
        <v>22</v>
      </c>
      <c r="E70" s="597" t="s">
        <v>587</v>
      </c>
      <c r="F70" s="598">
        <v>5</v>
      </c>
      <c r="G70" s="598" t="s">
        <v>527</v>
      </c>
      <c r="H70" s="598">
        <v>1</v>
      </c>
      <c r="I70" s="597" t="s">
        <v>79</v>
      </c>
      <c r="J70" s="598">
        <v>3</v>
      </c>
      <c r="K70" s="597" t="s">
        <v>598</v>
      </c>
      <c r="L70" s="598">
        <v>6</v>
      </c>
      <c r="M70" s="598" t="s">
        <v>528</v>
      </c>
      <c r="N70" s="383">
        <v>1</v>
      </c>
    </row>
    <row r="71" spans="2:14">
      <c r="B71" s="415" t="s">
        <v>364</v>
      </c>
      <c r="C71" s="382" t="s">
        <v>529</v>
      </c>
      <c r="D71" s="382">
        <v>31</v>
      </c>
      <c r="E71" s="597" t="s">
        <v>588</v>
      </c>
      <c r="F71" s="598">
        <v>8</v>
      </c>
      <c r="G71" s="597" t="s">
        <v>76</v>
      </c>
      <c r="H71" s="598">
        <v>2</v>
      </c>
      <c r="I71" s="597" t="s">
        <v>104</v>
      </c>
      <c r="J71" s="598">
        <v>4</v>
      </c>
      <c r="K71" s="597" t="s">
        <v>599</v>
      </c>
      <c r="L71" s="598">
        <v>10</v>
      </c>
      <c r="M71" s="597" t="s">
        <v>79</v>
      </c>
      <c r="N71" s="383">
        <v>2</v>
      </c>
    </row>
    <row r="72" spans="2:14">
      <c r="B72" s="415" t="s">
        <v>311</v>
      </c>
      <c r="C72" s="382" t="s">
        <v>530</v>
      </c>
      <c r="D72" s="382">
        <v>32</v>
      </c>
      <c r="E72" s="598" t="s">
        <v>531</v>
      </c>
      <c r="F72" s="598">
        <v>28</v>
      </c>
      <c r="G72" s="597"/>
      <c r="H72" s="598"/>
      <c r="I72" s="597" t="s">
        <v>594</v>
      </c>
      <c r="J72" s="598">
        <v>12</v>
      </c>
      <c r="K72" s="597" t="s">
        <v>532</v>
      </c>
      <c r="L72" s="598">
        <v>40</v>
      </c>
      <c r="M72" s="597" t="s">
        <v>76</v>
      </c>
      <c r="N72" s="383">
        <v>1.9</v>
      </c>
    </row>
    <row r="73" spans="2:14">
      <c r="B73" s="415" t="s">
        <v>194</v>
      </c>
      <c r="C73" s="382" t="s">
        <v>92</v>
      </c>
      <c r="D73" s="382">
        <v>24</v>
      </c>
      <c r="E73" s="597" t="s">
        <v>589</v>
      </c>
      <c r="F73" s="598">
        <v>7</v>
      </c>
      <c r="G73" s="597" t="s">
        <v>591</v>
      </c>
      <c r="H73" s="598">
        <v>3</v>
      </c>
      <c r="I73" s="597" t="s">
        <v>595</v>
      </c>
      <c r="J73" s="598">
        <v>6</v>
      </c>
      <c r="K73" s="597" t="s">
        <v>600</v>
      </c>
      <c r="L73" s="598">
        <v>5</v>
      </c>
      <c r="M73" s="597" t="s">
        <v>533</v>
      </c>
      <c r="N73" s="383">
        <v>1</v>
      </c>
    </row>
    <row r="74" spans="2:14">
      <c r="B74" s="415" t="s">
        <v>18</v>
      </c>
      <c r="C74" s="382" t="s">
        <v>534</v>
      </c>
      <c r="D74" s="382">
        <v>60</v>
      </c>
      <c r="E74" s="598" t="s">
        <v>535</v>
      </c>
      <c r="F74" s="598">
        <v>30</v>
      </c>
      <c r="G74" s="597" t="s">
        <v>592</v>
      </c>
      <c r="H74" s="598">
        <v>8</v>
      </c>
      <c r="I74" s="597" t="s">
        <v>596</v>
      </c>
      <c r="J74" s="598">
        <v>19</v>
      </c>
      <c r="K74" s="597" t="s">
        <v>601</v>
      </c>
      <c r="L74" s="598">
        <v>17</v>
      </c>
      <c r="M74" s="597" t="s">
        <v>536</v>
      </c>
      <c r="N74" s="383">
        <v>4</v>
      </c>
    </row>
    <row r="75" spans="2:14">
      <c r="B75" s="415" t="s">
        <v>537</v>
      </c>
      <c r="C75" s="382" t="s">
        <v>538</v>
      </c>
      <c r="D75" s="382">
        <v>41</v>
      </c>
      <c r="E75" s="598" t="s">
        <v>539</v>
      </c>
      <c r="F75" s="598">
        <v>24</v>
      </c>
      <c r="G75" s="597" t="s">
        <v>593</v>
      </c>
      <c r="H75" s="598">
        <v>11</v>
      </c>
      <c r="I75" s="597" t="s">
        <v>597</v>
      </c>
      <c r="J75" s="598">
        <v>17</v>
      </c>
      <c r="K75" s="597" t="s">
        <v>54</v>
      </c>
      <c r="L75" s="598">
        <v>11</v>
      </c>
      <c r="M75" s="597" t="s">
        <v>591</v>
      </c>
      <c r="N75" s="383">
        <v>3</v>
      </c>
    </row>
    <row r="76" spans="2:14">
      <c r="B76" s="596" t="s">
        <v>540</v>
      </c>
      <c r="C76" s="599"/>
      <c r="D76" s="599"/>
      <c r="E76" s="599"/>
      <c r="F76" s="599"/>
      <c r="G76" s="599"/>
      <c r="H76" s="599"/>
      <c r="I76" s="600"/>
      <c r="J76" s="599"/>
      <c r="K76" s="600"/>
      <c r="L76" s="599"/>
      <c r="M76" s="600"/>
      <c r="N76" s="601"/>
    </row>
    <row r="77" spans="2:14" ht="30.75" thickBot="1">
      <c r="B77" s="415" t="s">
        <v>735</v>
      </c>
      <c r="C77" s="614" t="s">
        <v>796</v>
      </c>
      <c r="D77" s="382">
        <v>10</v>
      </c>
      <c r="E77" s="597" t="s">
        <v>587</v>
      </c>
      <c r="F77" s="598">
        <v>5</v>
      </c>
      <c r="G77" s="598" t="s">
        <v>541</v>
      </c>
      <c r="H77" s="598">
        <v>2</v>
      </c>
      <c r="I77" s="597" t="s">
        <v>542</v>
      </c>
      <c r="J77" s="598">
        <v>2</v>
      </c>
      <c r="K77" s="597" t="s">
        <v>598</v>
      </c>
      <c r="L77" s="598">
        <v>6</v>
      </c>
      <c r="M77" s="597" t="s">
        <v>543</v>
      </c>
      <c r="N77" s="383">
        <v>1</v>
      </c>
    </row>
    <row r="78" spans="2:14" ht="15.75" thickBot="1">
      <c r="B78" s="416" t="s">
        <v>364</v>
      </c>
      <c r="C78" s="384" t="s">
        <v>529</v>
      </c>
      <c r="D78" s="384">
        <v>31</v>
      </c>
      <c r="E78" s="602" t="s">
        <v>590</v>
      </c>
      <c r="F78" s="603">
        <v>7</v>
      </c>
      <c r="G78" s="603"/>
      <c r="H78" s="603"/>
      <c r="I78" s="602" t="s">
        <v>78</v>
      </c>
      <c r="J78" s="603">
        <v>3</v>
      </c>
      <c r="K78" s="602" t="s">
        <v>602</v>
      </c>
      <c r="L78" s="603">
        <v>12</v>
      </c>
      <c r="M78" s="603"/>
      <c r="N78" s="385"/>
    </row>
    <row r="79" spans="2:14">
      <c r="B79" s="371"/>
      <c r="C79" s="372"/>
      <c r="D79" s="372"/>
      <c r="E79" s="373"/>
      <c r="F79" s="374"/>
      <c r="G79" s="374"/>
      <c r="H79" s="374"/>
      <c r="I79" s="373"/>
      <c r="J79" s="374"/>
      <c r="K79" s="373"/>
      <c r="L79" s="374"/>
      <c r="M79" s="374"/>
      <c r="N79" s="372"/>
    </row>
    <row r="80" spans="2:14">
      <c r="B80" s="639" t="s">
        <v>699</v>
      </c>
      <c r="C80" s="639"/>
      <c r="D80" s="639"/>
      <c r="E80" s="639"/>
      <c r="F80" s="639"/>
      <c r="H80" s="753"/>
    </row>
    <row r="81" spans="2:6" ht="15.75" thickBot="1">
      <c r="B81" s="56"/>
      <c r="C81" s="56"/>
      <c r="D81" s="56"/>
      <c r="E81" s="56"/>
      <c r="F81" s="56"/>
    </row>
    <row r="82" spans="2:6">
      <c r="B82" s="219"/>
      <c r="C82" s="412" t="s">
        <v>226</v>
      </c>
      <c r="D82" s="412" t="s">
        <v>211</v>
      </c>
      <c r="E82" s="412" t="s">
        <v>183</v>
      </c>
      <c r="F82" s="547" t="s">
        <v>214</v>
      </c>
    </row>
    <row r="83" spans="2:6" ht="30.75" thickBot="1">
      <c r="B83" s="121" t="s">
        <v>341</v>
      </c>
      <c r="C83" s="604">
        <v>0.24</v>
      </c>
      <c r="D83" s="605">
        <v>0.18</v>
      </c>
      <c r="E83" s="605">
        <v>0.3</v>
      </c>
      <c r="F83" s="606">
        <v>0.44</v>
      </c>
    </row>
    <row r="97" spans="2:6">
      <c r="B97" t="s">
        <v>547</v>
      </c>
    </row>
    <row r="99" spans="2:6">
      <c r="B99" t="s">
        <v>700</v>
      </c>
    </row>
    <row r="100" spans="2:6" ht="15.75" thickBot="1"/>
    <row r="101" spans="2:6">
      <c r="B101" s="351" t="s">
        <v>544</v>
      </c>
      <c r="C101" s="332"/>
      <c r="D101" s="333">
        <f>130*0.25</f>
        <v>32.5</v>
      </c>
      <c r="E101" s="1"/>
    </row>
    <row r="102" spans="2:6">
      <c r="B102" s="292" t="s">
        <v>545</v>
      </c>
      <c r="C102" s="6"/>
      <c r="D102" s="582">
        <f>365*D101</f>
        <v>11862.5</v>
      </c>
      <c r="E102" s="1"/>
    </row>
    <row r="103" spans="2:6" ht="15.75" thickBot="1">
      <c r="B103" s="240" t="s">
        <v>546</v>
      </c>
      <c r="C103" s="98"/>
      <c r="D103" s="99">
        <f>D102/1000</f>
        <v>11.862500000000001</v>
      </c>
      <c r="E103" s="1"/>
    </row>
    <row r="105" spans="2:6">
      <c r="B105" s="241" t="s">
        <v>701</v>
      </c>
      <c r="C105" s="241"/>
      <c r="D105" s="241"/>
      <c r="E105" s="241"/>
      <c r="F105" s="241"/>
    </row>
    <row r="106" spans="2:6" ht="15.75" thickBot="1"/>
    <row r="107" spans="2:6" ht="30">
      <c r="B107" s="526" t="s">
        <v>343</v>
      </c>
      <c r="C107" s="336" t="s">
        <v>226</v>
      </c>
      <c r="D107" s="336" t="s">
        <v>211</v>
      </c>
      <c r="E107" s="336" t="s">
        <v>183</v>
      </c>
      <c r="F107" s="337" t="s">
        <v>214</v>
      </c>
    </row>
    <row r="108" spans="2:6">
      <c r="B108" s="95" t="s">
        <v>344</v>
      </c>
      <c r="C108" s="527">
        <f>C83*D103</f>
        <v>2.847</v>
      </c>
      <c r="D108" s="527">
        <f>D83*D103</f>
        <v>2.1352500000000001</v>
      </c>
      <c r="E108" s="527">
        <f>E83*D103</f>
        <v>3.5587500000000003</v>
      </c>
      <c r="F108" s="528">
        <f>F83*D103</f>
        <v>5.2195</v>
      </c>
    </row>
    <row r="109" spans="2:6" ht="16.5">
      <c r="B109" s="335" t="s">
        <v>345</v>
      </c>
      <c r="C109" s="218"/>
      <c r="D109" s="218" t="s">
        <v>607</v>
      </c>
      <c r="E109" s="218" t="s">
        <v>580</v>
      </c>
      <c r="F109" s="220" t="s">
        <v>579</v>
      </c>
    </row>
    <row r="110" spans="2:6">
      <c r="B110" s="95" t="s">
        <v>344</v>
      </c>
      <c r="C110" s="6"/>
      <c r="D110" s="527">
        <f>D108*4.427</f>
        <v>9.4527517499999991</v>
      </c>
      <c r="E110" s="527">
        <f>E108*2.29</f>
        <v>8.149537500000001</v>
      </c>
      <c r="F110" s="528">
        <f>F108*1.2</f>
        <v>6.2633999999999999</v>
      </c>
    </row>
    <row r="111" spans="2:6" ht="16.5">
      <c r="B111" s="335" t="s">
        <v>702</v>
      </c>
      <c r="C111" s="218"/>
      <c r="D111" s="218" t="s">
        <v>211</v>
      </c>
      <c r="E111" s="218" t="s">
        <v>580</v>
      </c>
      <c r="F111" s="220" t="s">
        <v>579</v>
      </c>
    </row>
    <row r="112" spans="2:6" ht="15.75" thickBot="1">
      <c r="B112" s="97" t="s">
        <v>346</v>
      </c>
      <c r="C112" s="98"/>
      <c r="D112" s="529">
        <v>130</v>
      </c>
      <c r="E112" s="529">
        <v>50</v>
      </c>
      <c r="F112" s="530">
        <v>95</v>
      </c>
    </row>
  </sheetData>
  <mergeCells count="18">
    <mergeCell ref="B2:K2"/>
    <mergeCell ref="C6:K6"/>
    <mergeCell ref="C7:E7"/>
    <mergeCell ref="F7:H7"/>
    <mergeCell ref="I7:K7"/>
    <mergeCell ref="B4:K4"/>
    <mergeCell ref="B64:N64"/>
    <mergeCell ref="B80:F80"/>
    <mergeCell ref="B66:B68"/>
    <mergeCell ref="C66:D67"/>
    <mergeCell ref="E66:N66"/>
    <mergeCell ref="E67:N67"/>
    <mergeCell ref="C68:D68"/>
    <mergeCell ref="E68:F68"/>
    <mergeCell ref="G68:H68"/>
    <mergeCell ref="I68:J68"/>
    <mergeCell ref="K68:L68"/>
    <mergeCell ref="M68:N68"/>
  </mergeCells>
  <pageMargins left="0.7" right="0.7" top="0.78740157499999996" bottom="0.78740157499999996" header="0.3" footer="0.3"/>
  <ignoredErrors>
    <ignoredError sqref="G74:G75 I72 I74:I75 K71 K74:K75 K78" twoDigitTextYear="1"/>
    <ignoredError sqref="H15"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34"/>
  <sheetViews>
    <sheetView topLeftCell="A124" workbookViewId="0">
      <selection activeCell="E72" sqref="E72"/>
    </sheetView>
  </sheetViews>
  <sheetFormatPr baseColWidth="10" defaultColWidth="10.7109375" defaultRowHeight="15"/>
  <cols>
    <col min="1" max="1" width="10.7109375" style="15"/>
    <col min="2" max="2" width="16.140625" style="15" customWidth="1"/>
    <col min="3" max="3" width="21.7109375" style="15" customWidth="1"/>
    <col min="4" max="4" width="13.7109375" style="15" customWidth="1"/>
    <col min="5" max="5" width="14" style="15" customWidth="1"/>
    <col min="6" max="6" width="11.42578125" style="15" customWidth="1"/>
    <col min="7" max="7" width="13.28515625" style="15" customWidth="1"/>
    <col min="8" max="16384" width="10.7109375" style="15"/>
  </cols>
  <sheetData>
    <row r="2" spans="2:23">
      <c r="B2" s="628" t="s">
        <v>375</v>
      </c>
      <c r="C2" s="628"/>
      <c r="D2" s="628"/>
      <c r="E2" s="628"/>
      <c r="F2" s="628"/>
      <c r="G2" s="628"/>
      <c r="H2" s="628"/>
      <c r="I2" s="628"/>
      <c r="J2" s="628"/>
      <c r="K2" s="628"/>
      <c r="L2" s="628"/>
      <c r="M2" s="299"/>
      <c r="N2" s="299"/>
      <c r="O2" s="299"/>
    </row>
    <row r="3" spans="2:23">
      <c r="M3" s="35"/>
      <c r="N3" s="35"/>
      <c r="O3" s="35"/>
    </row>
    <row r="4" spans="2:23">
      <c r="B4" s="700" t="s">
        <v>550</v>
      </c>
      <c r="C4" s="700"/>
      <c r="D4" s="700"/>
      <c r="E4" s="700"/>
      <c r="F4" s="700"/>
      <c r="G4" s="700"/>
      <c r="H4" s="700"/>
      <c r="I4" s="700"/>
      <c r="J4" s="700"/>
      <c r="K4" s="700"/>
      <c r="L4" s="700"/>
      <c r="M4" s="55"/>
      <c r="N4" s="55"/>
      <c r="O4" s="55"/>
    </row>
    <row r="5" spans="2:23" ht="15.75" thickBot="1"/>
    <row r="6" spans="2:23">
      <c r="B6" s="722" t="s">
        <v>147</v>
      </c>
      <c r="C6" s="736" t="s">
        <v>467</v>
      </c>
      <c r="D6" s="699" t="s">
        <v>211</v>
      </c>
      <c r="E6" s="699"/>
      <c r="F6" s="699"/>
      <c r="G6" s="699" t="s">
        <v>458</v>
      </c>
      <c r="H6" s="699"/>
      <c r="I6" s="699"/>
      <c r="J6" s="699" t="s">
        <v>459</v>
      </c>
      <c r="K6" s="699"/>
      <c r="L6" s="724"/>
      <c r="M6" s="735"/>
      <c r="N6" s="735"/>
      <c r="O6" s="735"/>
    </row>
    <row r="7" spans="2:23" ht="15" customHeight="1">
      <c r="B7" s="723"/>
      <c r="C7" s="673"/>
      <c r="D7" s="746" t="s">
        <v>347</v>
      </c>
      <c r="E7" s="747"/>
      <c r="F7" s="747"/>
      <c r="G7" s="747"/>
      <c r="H7" s="747"/>
      <c r="I7" s="747"/>
      <c r="J7" s="747"/>
      <c r="K7" s="747"/>
      <c r="L7" s="748"/>
      <c r="M7" s="268"/>
      <c r="N7" s="268"/>
      <c r="O7" s="268"/>
    </row>
    <row r="8" spans="2:23">
      <c r="B8" s="300"/>
      <c r="C8" s="238"/>
      <c r="D8" s="238" t="s">
        <v>308</v>
      </c>
      <c r="E8" s="238" t="s">
        <v>309</v>
      </c>
      <c r="F8" s="36" t="s">
        <v>225</v>
      </c>
      <c r="G8" s="238" t="s">
        <v>308</v>
      </c>
      <c r="H8" s="238" t="s">
        <v>309</v>
      </c>
      <c r="I8" s="36" t="s">
        <v>225</v>
      </c>
      <c r="J8" s="238" t="s">
        <v>308</v>
      </c>
      <c r="K8" s="238" t="s">
        <v>309</v>
      </c>
      <c r="L8" s="294" t="s">
        <v>225</v>
      </c>
      <c r="M8" s="276"/>
      <c r="N8" s="276"/>
      <c r="O8" s="276"/>
    </row>
    <row r="9" spans="2:23">
      <c r="B9" s="728" t="s">
        <v>228</v>
      </c>
      <c r="C9" s="238" t="s">
        <v>348</v>
      </c>
      <c r="D9" s="39">
        <f>E9-(E9*0.4)</f>
        <v>10.8</v>
      </c>
      <c r="E9" s="238">
        <v>18</v>
      </c>
      <c r="F9" s="37">
        <f>AVERAGE(D9:E9)</f>
        <v>14.4</v>
      </c>
      <c r="G9" s="40">
        <f>I9-(I9*0.3)</f>
        <v>5.6</v>
      </c>
      <c r="H9" s="40">
        <f>I9+(I9*0.3)</f>
        <v>10.4</v>
      </c>
      <c r="I9" s="38">
        <v>8</v>
      </c>
      <c r="J9" s="40">
        <f>L9-(L9*0.3)</f>
        <v>4.2</v>
      </c>
      <c r="K9" s="40">
        <f>L9+(L9*0.3)</f>
        <v>7.8</v>
      </c>
      <c r="L9" s="295">
        <v>6</v>
      </c>
      <c r="M9" s="41"/>
      <c r="N9" s="41"/>
      <c r="O9" s="41"/>
    </row>
    <row r="10" spans="2:23">
      <c r="B10" s="728"/>
      <c r="C10" s="238" t="s">
        <v>349</v>
      </c>
      <c r="D10" s="39">
        <f t="shared" ref="D10:D38" si="0">E10-(E10*0.4)</f>
        <v>13.799999999999999</v>
      </c>
      <c r="E10" s="238">
        <v>23</v>
      </c>
      <c r="F10" s="37">
        <f t="shared" ref="F10:F29" si="1">AVERAGE(D10:E10)</f>
        <v>18.399999999999999</v>
      </c>
      <c r="G10" s="40">
        <f t="shared" ref="G10:G38" si="2">H10-(H10*0.4)</f>
        <v>8.58</v>
      </c>
      <c r="H10" s="40">
        <f t="shared" ref="H10:H34" si="3">I10+(I10*0.3)</f>
        <v>14.3</v>
      </c>
      <c r="I10" s="38">
        <v>11</v>
      </c>
      <c r="J10" s="40">
        <f t="shared" ref="J10:J36" si="4">K10-(K10*0.4)</f>
        <v>15.6</v>
      </c>
      <c r="K10" s="40">
        <f t="shared" ref="K10:K34" si="5">L10+(L10*0.3)</f>
        <v>26</v>
      </c>
      <c r="L10" s="295">
        <v>20</v>
      </c>
      <c r="M10" s="41"/>
      <c r="N10" s="41"/>
      <c r="O10" s="41"/>
    </row>
    <row r="11" spans="2:23">
      <c r="B11" s="728" t="s">
        <v>234</v>
      </c>
      <c r="C11" s="238" t="s">
        <v>348</v>
      </c>
      <c r="D11" s="39">
        <f t="shared" si="0"/>
        <v>10.199999999999999</v>
      </c>
      <c r="E11" s="238">
        <v>17</v>
      </c>
      <c r="F11" s="37">
        <f t="shared" si="1"/>
        <v>13.6</v>
      </c>
      <c r="G11" s="40">
        <f t="shared" si="2"/>
        <v>6.24</v>
      </c>
      <c r="H11" s="40">
        <f t="shared" si="3"/>
        <v>10.4</v>
      </c>
      <c r="I11" s="38">
        <v>8</v>
      </c>
      <c r="J11" s="40">
        <f t="shared" si="4"/>
        <v>4.68</v>
      </c>
      <c r="K11" s="40">
        <f t="shared" si="5"/>
        <v>7.8</v>
      </c>
      <c r="L11" s="295">
        <v>6</v>
      </c>
      <c r="M11" s="41"/>
      <c r="N11" s="41"/>
      <c r="O11" s="41"/>
    </row>
    <row r="12" spans="2:23">
      <c r="B12" s="728"/>
      <c r="C12" s="238" t="s">
        <v>349</v>
      </c>
      <c r="D12" s="39">
        <f t="shared" si="0"/>
        <v>13.2</v>
      </c>
      <c r="E12" s="238">
        <v>22</v>
      </c>
      <c r="F12" s="37">
        <f t="shared" si="1"/>
        <v>17.600000000000001</v>
      </c>
      <c r="G12" s="40">
        <f t="shared" si="2"/>
        <v>8.58</v>
      </c>
      <c r="H12" s="40">
        <f t="shared" si="3"/>
        <v>14.3</v>
      </c>
      <c r="I12" s="38">
        <v>11</v>
      </c>
      <c r="J12" s="40">
        <f t="shared" si="4"/>
        <v>17.939999999999998</v>
      </c>
      <c r="K12" s="40">
        <f t="shared" si="5"/>
        <v>29.9</v>
      </c>
      <c r="L12" s="295">
        <v>23</v>
      </c>
      <c r="M12" s="41"/>
      <c r="N12" s="41"/>
      <c r="O12" s="41"/>
    </row>
    <row r="13" spans="2:23">
      <c r="B13" s="728" t="s">
        <v>203</v>
      </c>
      <c r="C13" s="238" t="s">
        <v>348</v>
      </c>
      <c r="D13" s="39">
        <f t="shared" si="0"/>
        <v>14.399999999999999</v>
      </c>
      <c r="E13" s="238">
        <v>24</v>
      </c>
      <c r="F13" s="37">
        <f t="shared" si="1"/>
        <v>19.2</v>
      </c>
      <c r="G13" s="40">
        <f t="shared" si="2"/>
        <v>6.24</v>
      </c>
      <c r="H13" s="40">
        <f t="shared" si="3"/>
        <v>10.4</v>
      </c>
      <c r="I13" s="38">
        <v>8</v>
      </c>
      <c r="J13" s="40">
        <f t="shared" si="4"/>
        <v>4.68</v>
      </c>
      <c r="K13" s="40">
        <f t="shared" si="5"/>
        <v>7.8</v>
      </c>
      <c r="L13" s="295">
        <v>6</v>
      </c>
      <c r="M13" s="276"/>
      <c r="N13" s="276"/>
      <c r="O13" s="276"/>
      <c r="P13" s="35"/>
      <c r="Q13" s="35"/>
      <c r="R13" s="35"/>
      <c r="S13" s="35"/>
      <c r="T13" s="35"/>
      <c r="U13" s="35"/>
      <c r="V13" s="35"/>
      <c r="W13" s="35"/>
    </row>
    <row r="14" spans="2:23">
      <c r="B14" s="728"/>
      <c r="C14" s="238" t="s">
        <v>349</v>
      </c>
      <c r="D14" s="39">
        <f t="shared" si="0"/>
        <v>12</v>
      </c>
      <c r="E14" s="238">
        <v>20</v>
      </c>
      <c r="F14" s="37">
        <f t="shared" si="1"/>
        <v>16</v>
      </c>
      <c r="G14" s="40">
        <f t="shared" si="2"/>
        <v>8.58</v>
      </c>
      <c r="H14" s="40">
        <f t="shared" si="3"/>
        <v>14.3</v>
      </c>
      <c r="I14" s="38">
        <v>11</v>
      </c>
      <c r="J14" s="40">
        <f t="shared" si="4"/>
        <v>7.8</v>
      </c>
      <c r="K14" s="40">
        <f t="shared" si="5"/>
        <v>13</v>
      </c>
      <c r="L14" s="295">
        <v>10</v>
      </c>
      <c r="M14" s="276"/>
      <c r="N14" s="276"/>
      <c r="O14" s="276"/>
      <c r="P14" s="35"/>
      <c r="Q14" s="35"/>
      <c r="R14" s="35"/>
      <c r="S14" s="35"/>
      <c r="T14" s="35"/>
      <c r="U14" s="35"/>
      <c r="V14" s="35"/>
      <c r="W14" s="35"/>
    </row>
    <row r="15" spans="2:23">
      <c r="B15" s="728" t="s">
        <v>200</v>
      </c>
      <c r="C15" s="238" t="s">
        <v>348</v>
      </c>
      <c r="D15" s="39">
        <f t="shared" si="0"/>
        <v>9</v>
      </c>
      <c r="E15" s="238">
        <v>15</v>
      </c>
      <c r="F15" s="37">
        <f t="shared" si="1"/>
        <v>12</v>
      </c>
      <c r="G15" s="40">
        <f t="shared" si="2"/>
        <v>6.24</v>
      </c>
      <c r="H15" s="40">
        <f t="shared" si="3"/>
        <v>10.4</v>
      </c>
      <c r="I15" s="38">
        <v>8</v>
      </c>
      <c r="J15" s="40">
        <f t="shared" si="4"/>
        <v>3.9</v>
      </c>
      <c r="K15" s="40">
        <f t="shared" si="5"/>
        <v>6.5</v>
      </c>
      <c r="L15" s="295">
        <v>5</v>
      </c>
      <c r="M15" s="41"/>
      <c r="N15" s="41"/>
      <c r="O15" s="41"/>
    </row>
    <row r="16" spans="2:23">
      <c r="B16" s="728"/>
      <c r="C16" s="238" t="s">
        <v>349</v>
      </c>
      <c r="D16" s="39">
        <f t="shared" si="0"/>
        <v>14.399999999999999</v>
      </c>
      <c r="E16" s="238">
        <v>24</v>
      </c>
      <c r="F16" s="37">
        <f t="shared" si="1"/>
        <v>19.2</v>
      </c>
      <c r="G16" s="40">
        <f t="shared" si="2"/>
        <v>7.8</v>
      </c>
      <c r="H16" s="40">
        <f t="shared" si="3"/>
        <v>13</v>
      </c>
      <c r="I16" s="38">
        <v>10</v>
      </c>
      <c r="J16" s="40">
        <f t="shared" si="4"/>
        <v>19.5</v>
      </c>
      <c r="K16" s="40">
        <f t="shared" si="5"/>
        <v>32.5</v>
      </c>
      <c r="L16" s="295">
        <v>25</v>
      </c>
      <c r="M16" s="41"/>
      <c r="N16" s="41"/>
      <c r="O16" s="41"/>
    </row>
    <row r="17" spans="2:15">
      <c r="B17" s="728" t="s">
        <v>703</v>
      </c>
      <c r="C17" s="238" t="s">
        <v>348</v>
      </c>
      <c r="D17" s="39">
        <f t="shared" si="0"/>
        <v>24.599999999999998</v>
      </c>
      <c r="E17" s="238">
        <v>41</v>
      </c>
      <c r="F17" s="37">
        <f t="shared" si="1"/>
        <v>32.799999999999997</v>
      </c>
      <c r="G17" s="40">
        <f t="shared" si="2"/>
        <v>9.36</v>
      </c>
      <c r="H17" s="40">
        <f t="shared" si="3"/>
        <v>15.6</v>
      </c>
      <c r="I17" s="38">
        <v>12</v>
      </c>
      <c r="J17" s="40">
        <f t="shared" si="4"/>
        <v>10.919999999999998</v>
      </c>
      <c r="K17" s="40">
        <f t="shared" si="5"/>
        <v>18.2</v>
      </c>
      <c r="L17" s="295">
        <v>14</v>
      </c>
      <c r="M17" s="41"/>
      <c r="N17" s="41"/>
      <c r="O17" s="41"/>
    </row>
    <row r="18" spans="2:15">
      <c r="B18" s="728"/>
      <c r="C18" s="238" t="s">
        <v>349</v>
      </c>
      <c r="D18" s="39">
        <f t="shared" si="0"/>
        <v>33.599999999999994</v>
      </c>
      <c r="E18" s="238">
        <v>56</v>
      </c>
      <c r="F18" s="37">
        <f t="shared" si="1"/>
        <v>44.8</v>
      </c>
      <c r="G18" s="40">
        <f t="shared" si="2"/>
        <v>11.7</v>
      </c>
      <c r="H18" s="40">
        <f t="shared" si="3"/>
        <v>19.5</v>
      </c>
      <c r="I18" s="38">
        <v>15</v>
      </c>
      <c r="J18" s="40">
        <f t="shared" si="4"/>
        <v>31.2</v>
      </c>
      <c r="K18" s="40">
        <f t="shared" si="5"/>
        <v>52</v>
      </c>
      <c r="L18" s="295">
        <v>40</v>
      </c>
      <c r="M18" s="41"/>
      <c r="N18" s="41"/>
      <c r="O18" s="41"/>
    </row>
    <row r="19" spans="2:15">
      <c r="B19" s="728" t="s">
        <v>704</v>
      </c>
      <c r="C19" s="238" t="s">
        <v>348</v>
      </c>
      <c r="D19" s="39">
        <f t="shared" si="0"/>
        <v>21.6</v>
      </c>
      <c r="E19" s="238">
        <v>36</v>
      </c>
      <c r="F19" s="37">
        <f t="shared" si="1"/>
        <v>28.8</v>
      </c>
      <c r="G19" s="40">
        <f t="shared" si="2"/>
        <v>8.58</v>
      </c>
      <c r="H19" s="40">
        <f t="shared" si="3"/>
        <v>14.3</v>
      </c>
      <c r="I19" s="38">
        <v>11</v>
      </c>
      <c r="J19" s="40">
        <f t="shared" si="4"/>
        <v>10.919999999999998</v>
      </c>
      <c r="K19" s="40">
        <f t="shared" si="5"/>
        <v>18.2</v>
      </c>
      <c r="L19" s="295">
        <v>14</v>
      </c>
      <c r="M19" s="41"/>
      <c r="N19" s="41"/>
      <c r="O19" s="41"/>
    </row>
    <row r="20" spans="2:15">
      <c r="B20" s="728"/>
      <c r="C20" s="238" t="s">
        <v>349</v>
      </c>
      <c r="D20" s="39">
        <f t="shared" si="0"/>
        <v>30.599999999999998</v>
      </c>
      <c r="E20" s="238">
        <v>51</v>
      </c>
      <c r="F20" s="37">
        <f t="shared" si="1"/>
        <v>40.799999999999997</v>
      </c>
      <c r="G20" s="40">
        <f t="shared" si="2"/>
        <v>10.919999999999998</v>
      </c>
      <c r="H20" s="40">
        <f t="shared" si="3"/>
        <v>18.2</v>
      </c>
      <c r="I20" s="38">
        <v>14</v>
      </c>
      <c r="J20" s="40">
        <f t="shared" si="4"/>
        <v>31.2</v>
      </c>
      <c r="K20" s="40">
        <f t="shared" si="5"/>
        <v>52</v>
      </c>
      <c r="L20" s="295">
        <v>40</v>
      </c>
      <c r="M20" s="41"/>
      <c r="N20" s="41"/>
      <c r="O20" s="41"/>
    </row>
    <row r="21" spans="2:15">
      <c r="B21" s="728" t="s">
        <v>229</v>
      </c>
      <c r="C21" s="238" t="s">
        <v>706</v>
      </c>
      <c r="D21" s="39">
        <f t="shared" si="0"/>
        <v>2.0999999999999996</v>
      </c>
      <c r="E21" s="238">
        <v>3.5</v>
      </c>
      <c r="F21" s="37">
        <f t="shared" si="1"/>
        <v>2.8</v>
      </c>
      <c r="G21" s="40">
        <f t="shared" si="2"/>
        <v>0.84</v>
      </c>
      <c r="H21" s="40">
        <v>1.4</v>
      </c>
      <c r="I21" s="38">
        <v>1.1000000000000001</v>
      </c>
      <c r="J21" s="40">
        <f t="shared" si="4"/>
        <v>4.68</v>
      </c>
      <c r="K21" s="40">
        <f t="shared" si="5"/>
        <v>7.8</v>
      </c>
      <c r="L21" s="295">
        <v>6</v>
      </c>
      <c r="M21" s="41"/>
      <c r="N21" s="41"/>
      <c r="O21" s="41"/>
    </row>
    <row r="22" spans="2:15">
      <c r="B22" s="728"/>
      <c r="C22" s="238" t="s">
        <v>350</v>
      </c>
      <c r="D22" s="39">
        <f t="shared" si="0"/>
        <v>2.52</v>
      </c>
      <c r="E22" s="238">
        <v>4.2</v>
      </c>
      <c r="F22" s="37">
        <f t="shared" si="1"/>
        <v>3.3600000000000003</v>
      </c>
      <c r="G22" s="40">
        <f t="shared" si="2"/>
        <v>0.89999999999999991</v>
      </c>
      <c r="H22" s="40">
        <v>1.5</v>
      </c>
      <c r="I22" s="38">
        <v>1.2</v>
      </c>
      <c r="J22" s="40">
        <f t="shared" si="4"/>
        <v>5.4599999999999991</v>
      </c>
      <c r="K22" s="40">
        <f t="shared" si="5"/>
        <v>9.1</v>
      </c>
      <c r="L22" s="295">
        <v>7</v>
      </c>
      <c r="M22" s="41"/>
      <c r="N22" s="41"/>
      <c r="O22" s="41"/>
    </row>
    <row r="23" spans="2:15">
      <c r="B23" s="728" t="s">
        <v>224</v>
      </c>
      <c r="C23" s="238"/>
      <c r="D23" s="39">
        <f t="shared" si="0"/>
        <v>0</v>
      </c>
      <c r="E23" s="238"/>
      <c r="F23" s="37">
        <f t="shared" si="1"/>
        <v>0</v>
      </c>
      <c r="G23" s="40">
        <f t="shared" si="2"/>
        <v>0</v>
      </c>
      <c r="H23" s="40">
        <f t="shared" si="3"/>
        <v>0</v>
      </c>
      <c r="I23" s="38"/>
      <c r="J23" s="40">
        <f t="shared" si="4"/>
        <v>0</v>
      </c>
      <c r="K23" s="40">
        <f t="shared" si="5"/>
        <v>0</v>
      </c>
      <c r="L23" s="295">
        <v>0</v>
      </c>
      <c r="M23" s="41"/>
      <c r="N23" s="41"/>
      <c r="O23" s="41"/>
    </row>
    <row r="24" spans="2:15">
      <c r="B24" s="728"/>
      <c r="C24" s="238" t="s">
        <v>350</v>
      </c>
      <c r="D24" s="39">
        <v>1.5</v>
      </c>
      <c r="E24" s="238">
        <v>6</v>
      </c>
      <c r="F24" s="37">
        <f t="shared" si="1"/>
        <v>3.75</v>
      </c>
      <c r="G24" s="40">
        <f t="shared" si="2"/>
        <v>0.78</v>
      </c>
      <c r="H24" s="40">
        <f t="shared" si="3"/>
        <v>1.3</v>
      </c>
      <c r="I24" s="38">
        <v>1</v>
      </c>
      <c r="J24" s="40">
        <f t="shared" si="4"/>
        <v>0.39</v>
      </c>
      <c r="K24" s="40">
        <f t="shared" si="5"/>
        <v>0.65</v>
      </c>
      <c r="L24" s="295">
        <v>0.5</v>
      </c>
      <c r="M24" s="41"/>
      <c r="N24" s="41"/>
      <c r="O24" s="41"/>
    </row>
    <row r="25" spans="2:15">
      <c r="B25" s="728" t="s">
        <v>206</v>
      </c>
      <c r="C25" s="238"/>
      <c r="D25" s="39">
        <f t="shared" si="0"/>
        <v>0</v>
      </c>
      <c r="E25" s="238"/>
      <c r="F25" s="37">
        <f t="shared" si="1"/>
        <v>0</v>
      </c>
      <c r="G25" s="40">
        <f t="shared" si="2"/>
        <v>0</v>
      </c>
      <c r="H25" s="40">
        <f t="shared" si="3"/>
        <v>0</v>
      </c>
      <c r="I25" s="38"/>
      <c r="J25" s="40">
        <f t="shared" si="4"/>
        <v>0</v>
      </c>
      <c r="K25" s="40">
        <f t="shared" si="5"/>
        <v>0</v>
      </c>
      <c r="L25" s="295">
        <v>0</v>
      </c>
      <c r="M25" s="41"/>
      <c r="N25" s="41"/>
      <c r="O25" s="41"/>
    </row>
    <row r="26" spans="2:15">
      <c r="B26" s="728"/>
      <c r="C26" s="238" t="s">
        <v>350</v>
      </c>
      <c r="D26" s="39">
        <f t="shared" si="0"/>
        <v>3</v>
      </c>
      <c r="E26" s="238">
        <v>5</v>
      </c>
      <c r="F26" s="37">
        <f t="shared" si="1"/>
        <v>4</v>
      </c>
      <c r="G26" s="40">
        <f t="shared" si="2"/>
        <v>0.39</v>
      </c>
      <c r="H26" s="40">
        <f t="shared" si="3"/>
        <v>0.65</v>
      </c>
      <c r="I26" s="38">
        <v>0.5</v>
      </c>
      <c r="J26" s="40">
        <f t="shared" si="4"/>
        <v>3.9</v>
      </c>
      <c r="K26" s="40">
        <f t="shared" si="5"/>
        <v>6.5</v>
      </c>
      <c r="L26" s="295">
        <v>5</v>
      </c>
      <c r="M26" s="41"/>
      <c r="N26" s="41"/>
      <c r="O26" s="41"/>
    </row>
    <row r="27" spans="2:15">
      <c r="B27" s="728" t="s">
        <v>351</v>
      </c>
      <c r="C27" s="238"/>
      <c r="D27" s="39">
        <f t="shared" si="0"/>
        <v>0</v>
      </c>
      <c r="E27" s="238"/>
      <c r="F27" s="37">
        <f t="shared" si="1"/>
        <v>0</v>
      </c>
      <c r="G27" s="40">
        <f t="shared" si="2"/>
        <v>0</v>
      </c>
      <c r="H27" s="40">
        <f t="shared" si="3"/>
        <v>0</v>
      </c>
      <c r="I27" s="38"/>
      <c r="J27" s="40">
        <f t="shared" si="4"/>
        <v>0</v>
      </c>
      <c r="K27" s="40">
        <f t="shared" si="5"/>
        <v>0</v>
      </c>
      <c r="L27" s="295">
        <v>0</v>
      </c>
      <c r="M27" s="41"/>
      <c r="N27" s="41"/>
      <c r="O27" s="41"/>
    </row>
    <row r="28" spans="2:15">
      <c r="B28" s="728"/>
      <c r="C28" s="238" t="s">
        <v>350</v>
      </c>
      <c r="D28" s="39">
        <f t="shared" si="0"/>
        <v>18</v>
      </c>
      <c r="E28" s="238">
        <v>30</v>
      </c>
      <c r="F28" s="37">
        <f>AVERAGE(D28:E28)</f>
        <v>24</v>
      </c>
      <c r="G28" s="40">
        <f t="shared" si="2"/>
        <v>5.4599999999999991</v>
      </c>
      <c r="H28" s="40">
        <f t="shared" si="3"/>
        <v>9.1</v>
      </c>
      <c r="I28" s="38">
        <v>7</v>
      </c>
      <c r="J28" s="40">
        <f t="shared" si="4"/>
        <v>2.34</v>
      </c>
      <c r="K28" s="40">
        <f t="shared" si="5"/>
        <v>3.9</v>
      </c>
      <c r="L28" s="295">
        <v>3</v>
      </c>
      <c r="M28" s="41"/>
      <c r="N28" s="41"/>
      <c r="O28" s="41"/>
    </row>
    <row r="29" spans="2:15">
      <c r="B29" s="728" t="s">
        <v>352</v>
      </c>
      <c r="C29" s="238"/>
      <c r="D29" s="39">
        <f t="shared" si="0"/>
        <v>0</v>
      </c>
      <c r="E29" s="238"/>
      <c r="F29" s="37">
        <f t="shared" si="1"/>
        <v>0</v>
      </c>
      <c r="G29" s="40">
        <f t="shared" si="2"/>
        <v>0</v>
      </c>
      <c r="H29" s="40">
        <f t="shared" si="3"/>
        <v>0</v>
      </c>
      <c r="I29" s="38"/>
      <c r="J29" s="40">
        <f t="shared" si="4"/>
        <v>0</v>
      </c>
      <c r="K29" s="40">
        <f t="shared" si="5"/>
        <v>0</v>
      </c>
      <c r="L29" s="295">
        <v>0</v>
      </c>
      <c r="M29" s="41"/>
      <c r="N29" s="41"/>
      <c r="O29" s="41"/>
    </row>
    <row r="30" spans="2:15">
      <c r="B30" s="728"/>
      <c r="C30" s="238" t="s">
        <v>350</v>
      </c>
      <c r="D30" s="39">
        <f>E30-(E30*0.2)</f>
        <v>21.6</v>
      </c>
      <c r="E30" s="238">
        <v>27</v>
      </c>
      <c r="F30" s="37">
        <f>AVERAGE(D30:E30)</f>
        <v>24.3</v>
      </c>
      <c r="G30" s="40">
        <f t="shared" si="2"/>
        <v>4.68</v>
      </c>
      <c r="H30" s="40">
        <f t="shared" si="3"/>
        <v>7.8</v>
      </c>
      <c r="I30" s="38">
        <v>6</v>
      </c>
      <c r="J30" s="40">
        <f t="shared" si="4"/>
        <v>2.34</v>
      </c>
      <c r="K30" s="40">
        <f t="shared" si="5"/>
        <v>3.9</v>
      </c>
      <c r="L30" s="295">
        <v>3</v>
      </c>
      <c r="M30" s="41"/>
      <c r="N30" s="41"/>
      <c r="O30" s="41"/>
    </row>
    <row r="31" spans="2:15">
      <c r="B31" s="729" t="s">
        <v>705</v>
      </c>
      <c r="C31" s="238"/>
      <c r="D31" s="39">
        <f t="shared" si="0"/>
        <v>0</v>
      </c>
      <c r="E31" s="238"/>
      <c r="F31" s="37"/>
      <c r="G31" s="40">
        <f t="shared" si="2"/>
        <v>0</v>
      </c>
      <c r="H31" s="40">
        <f t="shared" si="3"/>
        <v>0</v>
      </c>
      <c r="I31" s="38"/>
      <c r="J31" s="40">
        <f t="shared" si="4"/>
        <v>0</v>
      </c>
      <c r="K31" s="40">
        <f t="shared" si="5"/>
        <v>0</v>
      </c>
      <c r="L31" s="295">
        <v>0</v>
      </c>
      <c r="M31" s="41"/>
      <c r="N31" s="41"/>
      <c r="O31" s="41"/>
    </row>
    <row r="32" spans="2:15">
      <c r="B32" s="729"/>
      <c r="C32" s="238" t="s">
        <v>350</v>
      </c>
      <c r="D32" s="39">
        <f t="shared" si="0"/>
        <v>18</v>
      </c>
      <c r="E32" s="238">
        <v>30</v>
      </c>
      <c r="F32" s="37">
        <f t="shared" ref="F32:F34" si="6">AVERAGE(D32:E32)</f>
        <v>24</v>
      </c>
      <c r="G32" s="40">
        <f t="shared" si="2"/>
        <v>12.48</v>
      </c>
      <c r="H32" s="40">
        <f t="shared" si="3"/>
        <v>20.8</v>
      </c>
      <c r="I32" s="38">
        <v>16</v>
      </c>
      <c r="J32" s="40">
        <f t="shared" si="4"/>
        <v>42.120000000000005</v>
      </c>
      <c r="K32" s="40">
        <f t="shared" si="5"/>
        <v>70.2</v>
      </c>
      <c r="L32" s="295">
        <v>54</v>
      </c>
      <c r="M32" s="41"/>
      <c r="N32" s="41"/>
      <c r="O32" s="41"/>
    </row>
    <row r="33" spans="2:21">
      <c r="B33" s="300" t="s">
        <v>184</v>
      </c>
      <c r="C33" s="238" t="s">
        <v>350</v>
      </c>
      <c r="D33" s="39">
        <f t="shared" si="0"/>
        <v>13.2</v>
      </c>
      <c r="E33" s="238">
        <v>22</v>
      </c>
      <c r="F33" s="37">
        <f t="shared" si="6"/>
        <v>17.600000000000001</v>
      </c>
      <c r="G33" s="40">
        <f t="shared" si="2"/>
        <v>5.4599999999999991</v>
      </c>
      <c r="H33" s="40">
        <f t="shared" si="3"/>
        <v>9.1</v>
      </c>
      <c r="I33" s="38">
        <v>7</v>
      </c>
      <c r="J33" s="40">
        <f t="shared" si="4"/>
        <v>37.44</v>
      </c>
      <c r="K33" s="40">
        <f t="shared" si="5"/>
        <v>62.4</v>
      </c>
      <c r="L33" s="295">
        <v>48</v>
      </c>
      <c r="M33" s="41"/>
      <c r="N33" s="41"/>
      <c r="O33" s="41"/>
    </row>
    <row r="34" spans="2:21">
      <c r="B34" s="300" t="s">
        <v>3</v>
      </c>
      <c r="C34" s="238"/>
      <c r="D34" s="39">
        <f t="shared" si="0"/>
        <v>7.8</v>
      </c>
      <c r="E34" s="238">
        <v>13</v>
      </c>
      <c r="F34" s="37">
        <f t="shared" si="6"/>
        <v>10.4</v>
      </c>
      <c r="G34" s="40">
        <f t="shared" si="2"/>
        <v>1.95</v>
      </c>
      <c r="H34" s="40">
        <f t="shared" si="3"/>
        <v>3.25</v>
      </c>
      <c r="I34" s="38">
        <v>2.5</v>
      </c>
      <c r="J34" s="40">
        <f t="shared" si="4"/>
        <v>9.36</v>
      </c>
      <c r="K34" s="40">
        <f t="shared" si="5"/>
        <v>15.6</v>
      </c>
      <c r="L34" s="295">
        <v>12</v>
      </c>
      <c r="M34" s="41"/>
      <c r="N34" s="41"/>
      <c r="O34" s="41"/>
    </row>
    <row r="35" spans="2:21">
      <c r="B35" s="300" t="s">
        <v>292</v>
      </c>
      <c r="C35" s="238" t="s">
        <v>353</v>
      </c>
      <c r="D35" s="39">
        <f t="shared" si="0"/>
        <v>24</v>
      </c>
      <c r="E35" s="238">
        <v>40</v>
      </c>
      <c r="F35" s="37">
        <f>AVERAGE(D35:E35)</f>
        <v>32</v>
      </c>
      <c r="G35" s="40">
        <f t="shared" si="2"/>
        <v>3</v>
      </c>
      <c r="H35" s="40">
        <v>5</v>
      </c>
      <c r="I35" s="38">
        <f>AVERAGE(G35:H35)</f>
        <v>4</v>
      </c>
      <c r="J35" s="40">
        <f t="shared" si="4"/>
        <v>38.4</v>
      </c>
      <c r="K35" s="40">
        <v>64</v>
      </c>
      <c r="L35" s="295">
        <f>AVERAGE(J35:K35)</f>
        <v>51.2</v>
      </c>
      <c r="M35" s="41"/>
      <c r="N35" s="41"/>
      <c r="O35" s="41"/>
    </row>
    <row r="36" spans="2:21">
      <c r="B36" s="300" t="s">
        <v>53</v>
      </c>
      <c r="C36" s="238" t="s">
        <v>354</v>
      </c>
      <c r="D36" s="301">
        <f t="shared" si="0"/>
        <v>0.72</v>
      </c>
      <c r="E36" s="238">
        <v>1.2</v>
      </c>
      <c r="F36" s="37">
        <f>AVERAGE(D36:E36)</f>
        <v>0.96</v>
      </c>
      <c r="G36" s="305">
        <f t="shared" si="2"/>
        <v>0.26400000000000001</v>
      </c>
      <c r="H36" s="305">
        <v>0.44</v>
      </c>
      <c r="I36" s="42">
        <f>AVERAGE(G36:H36)</f>
        <v>0.35199999999999998</v>
      </c>
      <c r="J36" s="40">
        <f t="shared" si="4"/>
        <v>1.56</v>
      </c>
      <c r="K36" s="40">
        <v>2.6</v>
      </c>
      <c r="L36" s="295">
        <f>AVERAGE(J36:K36)</f>
        <v>2.08</v>
      </c>
      <c r="M36" s="41"/>
      <c r="N36" s="41"/>
      <c r="O36" s="41"/>
    </row>
    <row r="37" spans="2:21">
      <c r="B37" s="300" t="s">
        <v>36</v>
      </c>
      <c r="C37" s="238" t="s">
        <v>354</v>
      </c>
      <c r="D37" s="39">
        <v>11</v>
      </c>
      <c r="E37" s="238">
        <v>41</v>
      </c>
      <c r="F37" s="37">
        <f>AVERAGE(D37:E37)</f>
        <v>26</v>
      </c>
      <c r="G37" s="40">
        <f>H37-(H37*0.8)</f>
        <v>4.3999999999999986</v>
      </c>
      <c r="H37" s="40">
        <v>22</v>
      </c>
      <c r="I37" s="38">
        <f>AVERAGE(G37:H37)</f>
        <v>13.2</v>
      </c>
      <c r="J37" s="40">
        <v>24</v>
      </c>
      <c r="K37" s="40">
        <v>73</v>
      </c>
      <c r="L37" s="295">
        <f>AVERAGE(J37:K37)</f>
        <v>48.5</v>
      </c>
      <c r="M37" s="41"/>
      <c r="N37" s="41"/>
      <c r="O37" s="41"/>
    </row>
    <row r="38" spans="2:21" ht="15.75" thickBot="1">
      <c r="B38" s="302" t="s">
        <v>42</v>
      </c>
      <c r="C38" s="303" t="s">
        <v>354</v>
      </c>
      <c r="D38" s="304">
        <f t="shared" si="0"/>
        <v>0</v>
      </c>
      <c r="E38" s="303">
        <v>0</v>
      </c>
      <c r="F38" s="296"/>
      <c r="G38" s="306">
        <f t="shared" si="2"/>
        <v>0</v>
      </c>
      <c r="H38" s="306">
        <v>0</v>
      </c>
      <c r="I38" s="297"/>
      <c r="J38" s="306"/>
      <c r="K38" s="306">
        <v>0</v>
      </c>
      <c r="L38" s="298"/>
      <c r="M38" s="41"/>
      <c r="N38" s="41"/>
      <c r="O38" s="41"/>
    </row>
    <row r="39" spans="2:21">
      <c r="B39" s="41"/>
      <c r="C39" s="41"/>
      <c r="D39" s="43"/>
      <c r="E39" s="41"/>
      <c r="F39" s="44"/>
      <c r="G39" s="45"/>
      <c r="H39" s="45"/>
      <c r="I39" s="45"/>
      <c r="J39" s="45"/>
      <c r="K39" s="45"/>
      <c r="L39" s="45"/>
      <c r="M39" s="41"/>
      <c r="N39" s="41"/>
      <c r="O39" s="41"/>
    </row>
    <row r="40" spans="2:21">
      <c r="B40" s="347" t="s">
        <v>355</v>
      </c>
      <c r="C40" s="193" t="s">
        <v>356</v>
      </c>
      <c r="D40" s="352"/>
      <c r="E40" s="353"/>
      <c r="F40" s="352"/>
      <c r="G40" s="354"/>
      <c r="H40" s="354"/>
      <c r="I40" s="354"/>
      <c r="J40" s="354"/>
      <c r="K40" s="354"/>
      <c r="L40" s="354"/>
      <c r="M40" s="353"/>
      <c r="N40" s="353"/>
      <c r="O40" s="41"/>
    </row>
    <row r="41" spans="2:21">
      <c r="B41" s="193"/>
      <c r="C41" s="193" t="s">
        <v>615</v>
      </c>
      <c r="D41" s="352"/>
      <c r="E41" s="353"/>
      <c r="F41" s="352"/>
      <c r="G41" s="354"/>
      <c r="H41" s="354"/>
      <c r="I41" s="354"/>
      <c r="J41" s="354"/>
      <c r="K41" s="354"/>
      <c r="L41" s="354"/>
      <c r="M41" s="353"/>
      <c r="N41" s="353"/>
      <c r="O41" s="41"/>
    </row>
    <row r="42" spans="2:21">
      <c r="B42" s="193"/>
      <c r="C42" s="193" t="s">
        <v>707</v>
      </c>
      <c r="D42" s="352"/>
      <c r="E42" s="353"/>
      <c r="F42" s="352"/>
      <c r="G42" s="354"/>
      <c r="H42" s="354"/>
      <c r="I42" s="354"/>
      <c r="J42" s="354"/>
      <c r="K42" s="354"/>
      <c r="L42" s="354"/>
      <c r="M42" s="353"/>
      <c r="N42" s="353"/>
      <c r="O42" s="41"/>
    </row>
    <row r="43" spans="2:21">
      <c r="C43" s="356" t="s">
        <v>557</v>
      </c>
      <c r="D43" s="43"/>
      <c r="E43" s="41"/>
      <c r="F43" s="44"/>
      <c r="G43" s="45"/>
      <c r="H43" s="45"/>
      <c r="I43" s="45"/>
      <c r="J43" s="45"/>
      <c r="K43" s="45"/>
      <c r="L43" s="45"/>
      <c r="M43" s="41"/>
      <c r="N43" s="41"/>
      <c r="O43" s="41"/>
    </row>
    <row r="44" spans="2:21">
      <c r="C44" s="356" t="s">
        <v>708</v>
      </c>
      <c r="D44" s="43"/>
      <c r="E44" s="41"/>
      <c r="F44" s="44"/>
      <c r="G44" s="45"/>
      <c r="H44" s="45"/>
      <c r="I44" s="45"/>
      <c r="J44" s="45"/>
      <c r="K44" s="45"/>
      <c r="L44" s="45"/>
      <c r="M44" s="41"/>
      <c r="N44" s="41"/>
      <c r="O44" s="41"/>
    </row>
    <row r="45" spans="2:21">
      <c r="B45" s="355" t="s">
        <v>551</v>
      </c>
      <c r="C45"/>
      <c r="D45"/>
      <c r="E45" s="41"/>
      <c r="F45" s="44"/>
      <c r="G45" s="45"/>
      <c r="H45" s="45"/>
      <c r="I45" s="45"/>
      <c r="J45" s="45"/>
      <c r="K45" s="45"/>
      <c r="L45" s="45"/>
      <c r="M45" s="41"/>
      <c r="N45" s="41"/>
      <c r="O45" s="41"/>
    </row>
    <row r="46" spans="2:21" ht="54" customHeight="1">
      <c r="B46" s="357" t="s">
        <v>709</v>
      </c>
      <c r="C46" s="345" t="s">
        <v>555</v>
      </c>
      <c r="D46" s="358"/>
      <c r="E46" s="358"/>
      <c r="F46" s="345"/>
      <c r="G46" s="354"/>
      <c r="H46" s="354"/>
      <c r="I46" s="354"/>
      <c r="J46" s="193"/>
      <c r="K46" s="354"/>
      <c r="L46" s="354"/>
      <c r="M46" s="353"/>
      <c r="N46" s="353"/>
      <c r="O46" s="353"/>
      <c r="P46" s="193"/>
      <c r="Q46" s="193"/>
      <c r="R46" s="193"/>
      <c r="S46" s="193"/>
      <c r="T46" s="193"/>
      <c r="U46" s="193"/>
    </row>
    <row r="47" spans="2:21" ht="18" customHeight="1">
      <c r="B47" s="357" t="s">
        <v>556</v>
      </c>
      <c r="C47" s="358" t="s">
        <v>710</v>
      </c>
      <c r="D47" s="358"/>
      <c r="E47" s="358"/>
      <c r="F47" s="345"/>
      <c r="G47" s="354"/>
      <c r="H47" s="354"/>
      <c r="I47" s="354"/>
      <c r="J47" s="193"/>
      <c r="K47" s="354"/>
      <c r="L47" s="354"/>
      <c r="M47" s="353"/>
      <c r="N47" s="353"/>
      <c r="O47" s="353"/>
      <c r="P47" s="193"/>
      <c r="Q47" s="193"/>
      <c r="R47" s="193"/>
      <c r="S47" s="193"/>
      <c r="T47" s="193"/>
      <c r="U47" s="193"/>
    </row>
    <row r="48" spans="2:21" ht="15.75">
      <c r="B48" s="359" t="s">
        <v>552</v>
      </c>
      <c r="C48" s="607" t="s">
        <v>554</v>
      </c>
      <c r="D48" s="193"/>
      <c r="E48" s="353"/>
      <c r="F48" s="345"/>
      <c r="G48" s="354"/>
      <c r="H48" s="354"/>
      <c r="I48" s="354"/>
      <c r="J48" s="346"/>
      <c r="K48" s="354"/>
      <c r="L48" s="354"/>
      <c r="M48" s="353"/>
      <c r="N48" s="353"/>
      <c r="O48" s="353"/>
      <c r="P48" s="193"/>
      <c r="Q48" s="193"/>
      <c r="R48" s="193"/>
      <c r="S48" s="193"/>
      <c r="T48" s="193"/>
      <c r="U48" s="193"/>
    </row>
    <row r="49" spans="2:21" ht="15.75">
      <c r="B49" s="345" t="s">
        <v>553</v>
      </c>
      <c r="C49" s="345" t="s">
        <v>711</v>
      </c>
      <c r="D49" s="193"/>
      <c r="E49" s="353"/>
      <c r="F49" s="345"/>
      <c r="G49" s="346"/>
      <c r="H49" s="345"/>
      <c r="I49" s="354"/>
      <c r="J49" s="346"/>
      <c r="K49" s="354"/>
      <c r="L49" s="354"/>
      <c r="M49" s="353"/>
      <c r="N49" s="353"/>
      <c r="O49" s="353"/>
      <c r="P49" s="193"/>
      <c r="Q49" s="193"/>
      <c r="R49" s="193"/>
      <c r="S49" s="193"/>
      <c r="T49" s="193"/>
      <c r="U49" s="193"/>
    </row>
    <row r="50" spans="2:21" ht="18" customHeight="1">
      <c r="B50" s="360" t="s">
        <v>712</v>
      </c>
      <c r="C50" s="345" t="s">
        <v>713</v>
      </c>
      <c r="D50" s="361"/>
      <c r="E50" s="361"/>
      <c r="F50" s="345"/>
      <c r="G50" s="346"/>
      <c r="H50" s="354"/>
      <c r="I50" s="354"/>
      <c r="J50" s="354"/>
      <c r="K50" s="354"/>
      <c r="L50" s="354"/>
      <c r="M50" s="353"/>
      <c r="N50" s="353"/>
      <c r="O50" s="353"/>
      <c r="P50" s="193"/>
      <c r="Q50" s="193"/>
      <c r="R50" s="193"/>
      <c r="S50" s="193"/>
      <c r="T50" s="193"/>
      <c r="U50" s="193"/>
    </row>
    <row r="51" spans="2:21" ht="15.75">
      <c r="B51" s="345" t="s">
        <v>715</v>
      </c>
      <c r="C51" s="345" t="s">
        <v>714</v>
      </c>
      <c r="D51" s="345"/>
      <c r="E51" s="353"/>
      <c r="F51" s="352"/>
      <c r="G51" s="346"/>
      <c r="H51" s="354"/>
      <c r="I51" s="354"/>
      <c r="J51" s="354"/>
      <c r="K51" s="354"/>
      <c r="L51" s="354"/>
      <c r="M51" s="353"/>
      <c r="N51" s="353"/>
      <c r="O51" s="193"/>
      <c r="P51" s="193"/>
      <c r="Q51" s="193"/>
      <c r="R51" s="193"/>
      <c r="S51" s="193"/>
      <c r="T51" s="193"/>
      <c r="U51" s="193"/>
    </row>
    <row r="52" spans="2:21" ht="15.75">
      <c r="B52" s="345" t="s">
        <v>558</v>
      </c>
      <c r="C52" s="338" t="s">
        <v>736</v>
      </c>
      <c r="D52" s="345"/>
      <c r="E52" s="353" t="s">
        <v>227</v>
      </c>
      <c r="F52" s="352"/>
      <c r="G52" s="346"/>
      <c r="H52" s="354"/>
      <c r="I52" s="354"/>
      <c r="J52" s="354"/>
      <c r="K52" s="354"/>
      <c r="L52" s="354"/>
      <c r="M52" s="353"/>
      <c r="N52" s="353"/>
      <c r="O52" s="193"/>
      <c r="P52" s="193"/>
      <c r="Q52" s="193"/>
      <c r="R52" s="193"/>
      <c r="S52" s="193"/>
      <c r="T52" s="193"/>
      <c r="U52" s="193"/>
    </row>
    <row r="53" spans="2:21" ht="15.75">
      <c r="B53"/>
      <c r="C53" s="348"/>
      <c r="D53" s="338"/>
      <c r="E53" s="276"/>
      <c r="F53" s="44"/>
      <c r="G53" s="348"/>
      <c r="H53" s="45"/>
      <c r="I53" s="45"/>
      <c r="J53" s="45"/>
      <c r="K53" s="45"/>
      <c r="L53" s="45"/>
      <c r="M53" s="276"/>
      <c r="N53" s="41"/>
    </row>
    <row r="54" spans="2:21" ht="15.75">
      <c r="C54" s="321"/>
    </row>
    <row r="55" spans="2:21">
      <c r="B55" s="700" t="s">
        <v>616</v>
      </c>
      <c r="C55" s="700"/>
      <c r="D55" s="700"/>
      <c r="E55" s="700"/>
      <c r="F55" s="700"/>
      <c r="G55" s="700"/>
      <c r="H55" s="700"/>
      <c r="I55" s="700"/>
      <c r="J55" s="700"/>
      <c r="K55" s="700"/>
      <c r="L55" s="55"/>
      <c r="M55" s="55"/>
      <c r="N55" s="55"/>
      <c r="O55" s="55"/>
    </row>
    <row r="56" spans="2:21" ht="15.75" thickBot="1">
      <c r="N56"/>
      <c r="R56"/>
    </row>
    <row r="57" spans="2:21">
      <c r="B57" s="254"/>
      <c r="C57" s="269"/>
      <c r="D57" s="222" t="s">
        <v>218</v>
      </c>
      <c r="E57" s="222" t="s">
        <v>218</v>
      </c>
      <c r="F57" s="222" t="s">
        <v>219</v>
      </c>
      <c r="G57" s="222" t="s">
        <v>219</v>
      </c>
      <c r="H57" s="699" t="s">
        <v>220</v>
      </c>
      <c r="I57" s="699"/>
      <c r="J57" s="699"/>
      <c r="K57" s="724"/>
      <c r="N57"/>
      <c r="R57"/>
    </row>
    <row r="58" spans="2:21" ht="16.149999999999999" customHeight="1">
      <c r="B58" s="723" t="s">
        <v>196</v>
      </c>
      <c r="C58" s="745" t="s">
        <v>197</v>
      </c>
      <c r="D58" s="674" t="s">
        <v>198</v>
      </c>
      <c r="E58" s="674" t="s">
        <v>460</v>
      </c>
      <c r="F58" s="674" t="s">
        <v>461</v>
      </c>
      <c r="G58" s="674" t="s">
        <v>221</v>
      </c>
      <c r="H58" s="672" t="s">
        <v>357</v>
      </c>
      <c r="I58" s="674" t="s">
        <v>462</v>
      </c>
      <c r="J58" s="672" t="s">
        <v>578</v>
      </c>
      <c r="K58" s="727" t="s">
        <v>581</v>
      </c>
      <c r="N58"/>
      <c r="R58"/>
    </row>
    <row r="59" spans="2:21">
      <c r="B59" s="723"/>
      <c r="C59" s="745"/>
      <c r="D59" s="674"/>
      <c r="E59" s="674"/>
      <c r="F59" s="674"/>
      <c r="G59" s="674"/>
      <c r="H59" s="673"/>
      <c r="I59" s="674"/>
      <c r="J59" s="673"/>
      <c r="K59" s="667"/>
      <c r="N59"/>
      <c r="R59"/>
    </row>
    <row r="60" spans="2:21">
      <c r="B60" s="307">
        <v>1</v>
      </c>
      <c r="C60" s="238" t="s">
        <v>69</v>
      </c>
      <c r="D60" s="308">
        <v>1.07</v>
      </c>
      <c r="E60" s="308">
        <v>0.27</v>
      </c>
      <c r="F60" s="562">
        <v>6000</v>
      </c>
      <c r="G60" s="562">
        <f t="shared" ref="G60:G68" si="7">E60*F60</f>
        <v>1620</v>
      </c>
      <c r="H60" s="309">
        <f>G60*(F28/1000)</f>
        <v>38.880000000000003</v>
      </c>
      <c r="I60" s="308">
        <v>80</v>
      </c>
      <c r="J60" s="309">
        <f>G60*(I28/1000)</f>
        <v>11.34</v>
      </c>
      <c r="K60" s="310">
        <f>G60*(L28/1000)</f>
        <v>4.8600000000000003</v>
      </c>
      <c r="N60"/>
      <c r="R60"/>
    </row>
    <row r="61" spans="2:21">
      <c r="B61" s="307" t="s">
        <v>199</v>
      </c>
      <c r="C61" s="238" t="s">
        <v>200</v>
      </c>
      <c r="D61" s="308">
        <v>0.28000000000000003</v>
      </c>
      <c r="E61" s="308">
        <v>7.0000000000000007E-2</v>
      </c>
      <c r="F61" s="562">
        <v>5000</v>
      </c>
      <c r="G61" s="308">
        <f t="shared" si="7"/>
        <v>350.00000000000006</v>
      </c>
      <c r="H61" s="309">
        <f>G61*(F16/1000)</f>
        <v>6.7200000000000006</v>
      </c>
      <c r="I61" s="238"/>
      <c r="J61" s="309">
        <f>G61*(I16/1000)</f>
        <v>3.5000000000000004</v>
      </c>
      <c r="K61" s="310">
        <f>G61*(L16/1000)</f>
        <v>8.7500000000000018</v>
      </c>
      <c r="N61"/>
      <c r="R61"/>
    </row>
    <row r="62" spans="2:21">
      <c r="B62" s="307"/>
      <c r="C62" s="238" t="s">
        <v>200</v>
      </c>
      <c r="D62" s="308">
        <v>0.8</v>
      </c>
      <c r="E62" s="308">
        <v>0.2</v>
      </c>
      <c r="F62" s="562">
        <v>5000</v>
      </c>
      <c r="G62" s="562">
        <f t="shared" si="7"/>
        <v>1000</v>
      </c>
      <c r="H62" s="309">
        <f>G62*(F16/1000)</f>
        <v>19.2</v>
      </c>
      <c r="I62" s="238"/>
      <c r="J62" s="309">
        <f>G62*(I16/1000)</f>
        <v>10</v>
      </c>
      <c r="K62" s="310">
        <f>G62*(L16/1000)</f>
        <v>25</v>
      </c>
      <c r="N62"/>
      <c r="O62"/>
      <c r="P62"/>
      <c r="Q62"/>
      <c r="R62"/>
    </row>
    <row r="63" spans="2:21">
      <c r="B63" s="307" t="s">
        <v>201</v>
      </c>
      <c r="C63" s="238" t="s">
        <v>358</v>
      </c>
      <c r="D63" s="308">
        <v>1.08</v>
      </c>
      <c r="E63" s="308">
        <v>0.27</v>
      </c>
      <c r="F63" s="562">
        <v>800</v>
      </c>
      <c r="G63" s="308">
        <f t="shared" si="7"/>
        <v>216</v>
      </c>
      <c r="H63" s="309">
        <f>G63*(F18/1000)</f>
        <v>9.6768000000000001</v>
      </c>
      <c r="I63" s="308">
        <v>40</v>
      </c>
      <c r="J63" s="311">
        <f>G63*(I18/1000)</f>
        <v>3.2399999999999998</v>
      </c>
      <c r="K63" s="310">
        <f>G63*(L18/1000)</f>
        <v>8.64</v>
      </c>
    </row>
    <row r="64" spans="2:21">
      <c r="B64" s="307" t="s">
        <v>202</v>
      </c>
      <c r="C64" s="238" t="s">
        <v>203</v>
      </c>
      <c r="D64" s="308">
        <v>0.97</v>
      </c>
      <c r="E64" s="308">
        <v>0.24</v>
      </c>
      <c r="F64" s="562">
        <v>2000</v>
      </c>
      <c r="G64" s="308">
        <f t="shared" si="7"/>
        <v>480</v>
      </c>
      <c r="H64" s="309">
        <f>G64*(F14/1000)</f>
        <v>7.68</v>
      </c>
      <c r="I64" s="238"/>
      <c r="J64" s="311">
        <f>G64*(I14/1000)</f>
        <v>5.2799999999999994</v>
      </c>
      <c r="K64" s="310">
        <f>G64*(L14/1000)</f>
        <v>4.8</v>
      </c>
    </row>
    <row r="65" spans="2:15">
      <c r="B65" s="307"/>
      <c r="C65" s="238" t="s">
        <v>203</v>
      </c>
      <c r="D65" s="308">
        <v>0.12</v>
      </c>
      <c r="E65" s="308">
        <v>0.03</v>
      </c>
      <c r="F65" s="562">
        <v>1500</v>
      </c>
      <c r="G65" s="308">
        <f t="shared" si="7"/>
        <v>45</v>
      </c>
      <c r="H65" s="311">
        <f>G65*(F14/1000)</f>
        <v>0.72</v>
      </c>
      <c r="I65" s="238"/>
      <c r="J65" s="312">
        <f>G65*(I14/1000)</f>
        <v>0.495</v>
      </c>
      <c r="K65" s="313">
        <f>G65*(L14/1000)</f>
        <v>0.45</v>
      </c>
    </row>
    <row r="66" spans="2:15">
      <c r="B66" s="307" t="s">
        <v>204</v>
      </c>
      <c r="C66" s="238" t="s">
        <v>359</v>
      </c>
      <c r="D66" s="308">
        <v>1.08</v>
      </c>
      <c r="E66" s="308">
        <v>0.27</v>
      </c>
      <c r="F66" s="562">
        <v>15000</v>
      </c>
      <c r="G66" s="562">
        <f t="shared" si="7"/>
        <v>4050.0000000000005</v>
      </c>
      <c r="H66" s="309">
        <f>G66*(F22/1000)</f>
        <v>13.608000000000002</v>
      </c>
      <c r="I66" s="238"/>
      <c r="J66" s="309">
        <f>G66*(I22/1000)</f>
        <v>4.8600000000000003</v>
      </c>
      <c r="K66" s="310">
        <f>G66*(L22/1000)</f>
        <v>28.350000000000005</v>
      </c>
    </row>
    <row r="67" spans="2:15">
      <c r="B67" s="307" t="s">
        <v>205</v>
      </c>
      <c r="C67" s="238" t="s">
        <v>224</v>
      </c>
      <c r="D67" s="308">
        <v>0.8</v>
      </c>
      <c r="E67" s="308">
        <v>0.2</v>
      </c>
      <c r="F67" s="562">
        <v>10000</v>
      </c>
      <c r="G67" s="562">
        <f t="shared" si="7"/>
        <v>2000</v>
      </c>
      <c r="H67" s="309">
        <f>G67*(F24/1000)</f>
        <v>7.5</v>
      </c>
      <c r="I67" s="238"/>
      <c r="J67" s="309">
        <f>G67*(I24/1000)</f>
        <v>2</v>
      </c>
      <c r="K67" s="310">
        <f>G67*(L24/1000)</f>
        <v>1</v>
      </c>
    </row>
    <row r="68" spans="2:15">
      <c r="B68" s="307" t="s">
        <v>797</v>
      </c>
      <c r="C68" s="238" t="s">
        <v>206</v>
      </c>
      <c r="D68" s="308">
        <v>0.28000000000000003</v>
      </c>
      <c r="E68" s="308">
        <v>7.0000000000000007E-2</v>
      </c>
      <c r="F68" s="562">
        <v>1000</v>
      </c>
      <c r="G68" s="308">
        <f t="shared" si="7"/>
        <v>70</v>
      </c>
      <c r="H68" s="311">
        <f>G68*(F26/1000)</f>
        <v>0.28000000000000003</v>
      </c>
      <c r="I68" s="238"/>
      <c r="J68" s="312">
        <f>G68*(I26/1000)</f>
        <v>3.5000000000000003E-2</v>
      </c>
      <c r="K68" s="313">
        <f>G68*(L26/1000)</f>
        <v>0.35000000000000003</v>
      </c>
    </row>
    <row r="69" spans="2:15">
      <c r="B69" s="307"/>
      <c r="C69" s="238"/>
      <c r="D69" s="238"/>
      <c r="E69" s="238"/>
      <c r="F69" s="608"/>
      <c r="G69" s="238"/>
      <c r="H69" s="309">
        <f>G69*(F42/1000)</f>
        <v>0</v>
      </c>
      <c r="I69" s="238"/>
      <c r="J69" s="309">
        <f>G69*(I42/1000)</f>
        <v>0</v>
      </c>
      <c r="K69" s="310">
        <f>G69*(L42/1000)</f>
        <v>0</v>
      </c>
    </row>
    <row r="70" spans="2:15">
      <c r="B70" s="307"/>
      <c r="C70" s="238" t="s">
        <v>184</v>
      </c>
      <c r="D70" s="308">
        <v>0.57999999999999996</v>
      </c>
      <c r="E70" s="308">
        <v>0.15</v>
      </c>
      <c r="F70" s="562">
        <v>15000</v>
      </c>
      <c r="G70" s="562">
        <f>E70*F70</f>
        <v>2250</v>
      </c>
      <c r="H70" s="309">
        <f>G70*(F33/1000)</f>
        <v>39.6</v>
      </c>
      <c r="I70" s="238"/>
      <c r="J70" s="309">
        <f>G70*(I33/1000)</f>
        <v>15.75</v>
      </c>
      <c r="K70" s="310">
        <f>G70*(L33/1000)</f>
        <v>108</v>
      </c>
    </row>
    <row r="71" spans="2:15">
      <c r="B71" s="307"/>
      <c r="C71" s="238" t="s">
        <v>3</v>
      </c>
      <c r="D71" s="308">
        <v>1.46</v>
      </c>
      <c r="E71" s="308">
        <v>0.37</v>
      </c>
      <c r="F71" s="562">
        <v>2000</v>
      </c>
      <c r="G71" s="308">
        <f>E71*F71</f>
        <v>740</v>
      </c>
      <c r="H71" s="309">
        <f>G71*(F34/1000)</f>
        <v>7.6959999999999997</v>
      </c>
      <c r="I71" s="238"/>
      <c r="J71" s="309">
        <f>G71*(I34/1000)</f>
        <v>1.85</v>
      </c>
      <c r="K71" s="310">
        <f>G71*(L34/1000)</f>
        <v>8.8800000000000008</v>
      </c>
    </row>
    <row r="72" spans="2:15" ht="15.75" thickBot="1">
      <c r="B72" s="270" t="s">
        <v>151</v>
      </c>
      <c r="C72" s="271"/>
      <c r="D72" s="271"/>
      <c r="E72" s="271">
        <f>E60+E63+E66+E67+E68+E70+E71</f>
        <v>1.6</v>
      </c>
      <c r="F72" s="271"/>
      <c r="G72" s="271"/>
      <c r="H72" s="272">
        <f>SUM(H60:H71)</f>
        <v>151.5608</v>
      </c>
      <c r="I72" s="271"/>
      <c r="J72" s="272">
        <f>SUM(J60:J71)</f>
        <v>58.349999999999994</v>
      </c>
      <c r="K72" s="273">
        <f>SUM(K60:K71)</f>
        <v>199.07999999999998</v>
      </c>
    </row>
    <row r="73" spans="2:15">
      <c r="B73" s="258"/>
      <c r="C73" s="259"/>
      <c r="D73" s="259"/>
      <c r="E73" s="259"/>
      <c r="F73" s="259"/>
      <c r="G73" s="259"/>
      <c r="H73" s="260"/>
      <c r="I73" s="259"/>
      <c r="J73" s="260"/>
      <c r="K73" s="260"/>
    </row>
    <row r="74" spans="2:15">
      <c r="B74" s="730" t="s">
        <v>617</v>
      </c>
      <c r="C74" s="730"/>
      <c r="D74" s="730"/>
      <c r="E74" s="730"/>
      <c r="F74" s="730"/>
      <c r="G74" s="730"/>
      <c r="H74" s="730"/>
      <c r="I74" s="730"/>
      <c r="J74" s="730"/>
      <c r="K74" s="730"/>
      <c r="L74" s="263"/>
      <c r="M74" s="263"/>
      <c r="N74" s="263"/>
      <c r="O74" s="263"/>
    </row>
    <row r="75" spans="2:15" ht="15.75" thickBot="1">
      <c r="B75" s="258"/>
      <c r="C75" s="259"/>
      <c r="D75" s="259"/>
      <c r="E75" s="259"/>
      <c r="F75" s="259"/>
      <c r="G75" s="259"/>
      <c r="H75" s="260"/>
      <c r="I75" s="259"/>
      <c r="J75" s="260"/>
      <c r="K75" s="260"/>
    </row>
    <row r="76" spans="2:15" ht="16.5">
      <c r="B76" s="737" t="s">
        <v>360</v>
      </c>
      <c r="C76" s="739" t="s">
        <v>361</v>
      </c>
      <c r="D76" s="739" t="s">
        <v>501</v>
      </c>
      <c r="E76" s="741" t="s">
        <v>362</v>
      </c>
      <c r="F76" s="532" t="s">
        <v>211</v>
      </c>
      <c r="G76" s="532" t="s">
        <v>580</v>
      </c>
      <c r="H76" s="532" t="s">
        <v>579</v>
      </c>
      <c r="I76" s="532" t="s">
        <v>211</v>
      </c>
      <c r="J76" s="532" t="s">
        <v>580</v>
      </c>
      <c r="K76" s="533" t="s">
        <v>579</v>
      </c>
    </row>
    <row r="77" spans="2:15" ht="31.15" customHeight="1">
      <c r="B77" s="738"/>
      <c r="C77" s="740"/>
      <c r="D77" s="740"/>
      <c r="E77" s="742"/>
      <c r="F77" s="743" t="s">
        <v>363</v>
      </c>
      <c r="G77" s="654"/>
      <c r="H77" s="744"/>
      <c r="I77" s="743" t="s">
        <v>221</v>
      </c>
      <c r="J77" s="654"/>
      <c r="K77" s="655"/>
    </row>
    <row r="78" spans="2:15">
      <c r="B78" s="125" t="s">
        <v>13</v>
      </c>
      <c r="C78" s="11">
        <v>2</v>
      </c>
      <c r="D78" s="11">
        <v>17.5</v>
      </c>
      <c r="E78" s="11">
        <v>365</v>
      </c>
      <c r="F78" s="11">
        <v>5.0000000000000001E-3</v>
      </c>
      <c r="G78" s="11">
        <v>3.0000000000000001E-3</v>
      </c>
      <c r="H78" s="11">
        <v>6.0000000000000001E-3</v>
      </c>
      <c r="I78" s="12">
        <f>(C78*D78*E78)*(F78)</f>
        <v>63.875</v>
      </c>
      <c r="J78" s="12">
        <f>(C78*D78*E78)*(G78)</f>
        <v>38.325000000000003</v>
      </c>
      <c r="K78" s="275">
        <f>(C78*D78*E78)*(H78)</f>
        <v>76.650000000000006</v>
      </c>
    </row>
    <row r="79" spans="2:15">
      <c r="B79" s="125" t="s">
        <v>364</v>
      </c>
      <c r="C79" s="11">
        <v>3</v>
      </c>
      <c r="D79" s="11">
        <v>2</v>
      </c>
      <c r="E79" s="11">
        <v>365</v>
      </c>
      <c r="F79" s="11">
        <v>7.0000000000000001E-3</v>
      </c>
      <c r="G79" s="11">
        <v>4.0000000000000001E-3</v>
      </c>
      <c r="H79" s="11">
        <v>0.01</v>
      </c>
      <c r="I79" s="12">
        <f t="shared" ref="I79:I83" si="8">(C79*D79*E79)*(F79)</f>
        <v>15.33</v>
      </c>
      <c r="J79" s="12">
        <f t="shared" ref="J79:J83" si="9">(C79*D79*E79)*(G79)</f>
        <v>8.76</v>
      </c>
      <c r="K79" s="275">
        <f t="shared" ref="K79:K83" si="10">(C79*D79*E79)*(H79)</f>
        <v>21.900000000000002</v>
      </c>
    </row>
    <row r="80" spans="2:15">
      <c r="B80" s="125" t="s">
        <v>339</v>
      </c>
      <c r="C80" s="11">
        <v>5</v>
      </c>
      <c r="D80" s="11">
        <v>0.8</v>
      </c>
      <c r="E80" s="11">
        <v>365</v>
      </c>
      <c r="F80" s="11">
        <v>2.4E-2</v>
      </c>
      <c r="G80" s="11">
        <v>1.7000000000000001E-2</v>
      </c>
      <c r="H80" s="11">
        <v>1.0999999999999999E-2</v>
      </c>
      <c r="I80" s="12">
        <f t="shared" si="8"/>
        <v>35.04</v>
      </c>
      <c r="J80" s="12">
        <f t="shared" si="9"/>
        <v>24.82</v>
      </c>
      <c r="K80" s="275">
        <f t="shared" si="10"/>
        <v>16.059999999999999</v>
      </c>
    </row>
    <row r="81" spans="2:15" ht="15" customHeight="1">
      <c r="B81" s="731" t="s">
        <v>716</v>
      </c>
      <c r="C81" s="732"/>
      <c r="D81" s="732"/>
      <c r="E81" s="732"/>
      <c r="F81" s="732"/>
      <c r="G81" s="732"/>
      <c r="H81" s="732"/>
      <c r="I81" s="732"/>
      <c r="J81" s="732"/>
      <c r="K81" s="733"/>
    </row>
    <row r="82" spans="2:15" ht="30">
      <c r="B82" s="125" t="s">
        <v>365</v>
      </c>
      <c r="C82" s="11">
        <v>0</v>
      </c>
      <c r="D82" s="11">
        <v>18</v>
      </c>
      <c r="E82" s="11">
        <v>365</v>
      </c>
      <c r="F82" s="11">
        <v>5.0000000000000001E-3</v>
      </c>
      <c r="G82" s="11">
        <v>2E-3</v>
      </c>
      <c r="H82" s="11">
        <v>6.0000000000000001E-3</v>
      </c>
      <c r="I82" s="12">
        <f t="shared" si="8"/>
        <v>0</v>
      </c>
      <c r="J82" s="12">
        <f t="shared" si="9"/>
        <v>0</v>
      </c>
      <c r="K82" s="275">
        <f t="shared" si="10"/>
        <v>0</v>
      </c>
    </row>
    <row r="83" spans="2:15">
      <c r="B83" s="125" t="s">
        <v>364</v>
      </c>
      <c r="C83" s="11">
        <v>0</v>
      </c>
      <c r="D83" s="11">
        <v>3</v>
      </c>
      <c r="E83" s="11">
        <v>365</v>
      </c>
      <c r="F83" s="11">
        <v>7.0000000000000001E-3</v>
      </c>
      <c r="G83" s="11">
        <v>3.0000000000000001E-3</v>
      </c>
      <c r="H83" s="11">
        <v>1.2E-2</v>
      </c>
      <c r="I83" s="12">
        <f t="shared" si="8"/>
        <v>0</v>
      </c>
      <c r="J83" s="12">
        <f t="shared" si="9"/>
        <v>0</v>
      </c>
      <c r="K83" s="275">
        <f t="shared" si="10"/>
        <v>0</v>
      </c>
    </row>
    <row r="84" spans="2:15" s="16" customFormat="1" ht="15.75" thickBot="1">
      <c r="B84" s="277" t="s">
        <v>151</v>
      </c>
      <c r="C84" s="271"/>
      <c r="D84" s="271"/>
      <c r="E84" s="271"/>
      <c r="F84" s="271"/>
      <c r="G84" s="271"/>
      <c r="H84" s="271"/>
      <c r="I84" s="272">
        <f>SUM(I78:I83)</f>
        <v>114.245</v>
      </c>
      <c r="J84" s="272">
        <f>SUM(J78:J83)</f>
        <v>71.905000000000001</v>
      </c>
      <c r="K84" s="273">
        <f>SUM(K78:K83)</f>
        <v>114.61000000000001</v>
      </c>
    </row>
    <row r="85" spans="2:15">
      <c r="B85" s="41"/>
      <c r="C85" s="47"/>
      <c r="D85" s="47"/>
      <c r="E85" s="47"/>
      <c r="F85" s="47"/>
      <c r="G85" s="47"/>
      <c r="H85" s="47"/>
      <c r="I85" s="48"/>
      <c r="J85" s="48"/>
      <c r="K85" s="48"/>
    </row>
    <row r="86" spans="2:15" ht="28.15" customHeight="1">
      <c r="B86" s="734" t="s">
        <v>618</v>
      </c>
      <c r="C86" s="734"/>
      <c r="D86" s="734"/>
      <c r="E86" s="734"/>
      <c r="F86" s="268"/>
      <c r="G86" s="268"/>
      <c r="H86" s="268"/>
      <c r="I86" s="268"/>
      <c r="J86" s="268"/>
      <c r="K86" s="268"/>
      <c r="L86" s="262"/>
      <c r="M86" s="262"/>
      <c r="N86" s="262"/>
      <c r="O86" s="262"/>
    </row>
    <row r="87" spans="2:15" ht="15.75" thickBot="1">
      <c r="B87" s="41"/>
      <c r="C87" s="47"/>
      <c r="D87" s="47"/>
      <c r="E87" s="47"/>
      <c r="F87" s="265"/>
      <c r="G87" s="265"/>
      <c r="H87" s="265"/>
      <c r="I87" s="267"/>
      <c r="J87" s="267"/>
      <c r="K87" s="267"/>
    </row>
    <row r="88" spans="2:15" ht="45">
      <c r="B88" s="274" t="s">
        <v>366</v>
      </c>
      <c r="C88" s="532" t="s">
        <v>773</v>
      </c>
      <c r="D88" s="534" t="s">
        <v>465</v>
      </c>
      <c r="E88" s="535" t="s">
        <v>466</v>
      </c>
      <c r="F88" s="264"/>
      <c r="G88" s="265"/>
      <c r="H88" s="265"/>
      <c r="I88" s="265"/>
      <c r="J88" s="266"/>
      <c r="K88" s="266"/>
    </row>
    <row r="89" spans="2:15">
      <c r="B89" s="125" t="s">
        <v>367</v>
      </c>
      <c r="C89" s="11">
        <f>D100</f>
        <v>120</v>
      </c>
      <c r="D89" s="11">
        <f>E60</f>
        <v>0.27</v>
      </c>
      <c r="E89" s="275">
        <f>C89*D89</f>
        <v>32.400000000000006</v>
      </c>
      <c r="F89" s="265"/>
      <c r="G89" s="265"/>
      <c r="H89" s="265"/>
      <c r="I89" s="265"/>
      <c r="J89" s="267"/>
      <c r="K89" s="267"/>
    </row>
    <row r="90" spans="2:15">
      <c r="B90" s="125" t="s">
        <v>358</v>
      </c>
      <c r="C90" s="11">
        <f>D101</f>
        <v>60</v>
      </c>
      <c r="D90" s="11">
        <f>E63</f>
        <v>0.27</v>
      </c>
      <c r="E90" s="275">
        <f>C90*D90</f>
        <v>16.200000000000003</v>
      </c>
      <c r="F90" s="265"/>
      <c r="G90" s="265"/>
      <c r="H90" s="265"/>
      <c r="I90" s="265"/>
      <c r="J90" s="267"/>
      <c r="K90" s="267"/>
    </row>
    <row r="91" spans="2:15" ht="15.75" thickBot="1">
      <c r="B91" s="277" t="s">
        <v>151</v>
      </c>
      <c r="C91" s="271"/>
      <c r="D91" s="271"/>
      <c r="E91" s="273">
        <f>E89+E90</f>
        <v>48.600000000000009</v>
      </c>
      <c r="F91" s="264"/>
      <c r="G91" s="265"/>
      <c r="H91" s="265"/>
      <c r="I91" s="265"/>
      <c r="J91" s="266"/>
      <c r="K91" s="266"/>
    </row>
    <row r="92" spans="2:15">
      <c r="B92" s="276"/>
    </row>
    <row r="93" spans="2:15">
      <c r="B93" s="15" t="s">
        <v>717</v>
      </c>
    </row>
    <row r="95" spans="2:15">
      <c r="B95" s="700" t="s">
        <v>619</v>
      </c>
      <c r="C95" s="700"/>
      <c r="D95" s="700"/>
      <c r="E95" s="700"/>
      <c r="F95" s="700"/>
      <c r="G95" s="261"/>
      <c r="H95" s="261"/>
      <c r="I95" s="261"/>
      <c r="J95" s="261"/>
      <c r="K95" s="261"/>
      <c r="L95" s="261"/>
      <c r="M95" s="261"/>
      <c r="N95" s="261"/>
      <c r="O95" s="261"/>
    </row>
    <row r="96" spans="2:15" ht="15.75" thickBot="1"/>
    <row r="97" spans="2:15" ht="25.9" customHeight="1">
      <c r="B97" s="722" t="s">
        <v>147</v>
      </c>
      <c r="C97" s="699" t="s">
        <v>368</v>
      </c>
      <c r="D97" s="699"/>
      <c r="E97" s="699" t="s">
        <v>369</v>
      </c>
      <c r="F97" s="724"/>
      <c r="G97" s="16"/>
    </row>
    <row r="98" spans="2:15">
      <c r="B98" s="723"/>
      <c r="C98" s="674" t="s">
        <v>774</v>
      </c>
      <c r="D98" s="674"/>
      <c r="E98" s="674" t="s">
        <v>774</v>
      </c>
      <c r="F98" s="725"/>
    </row>
    <row r="99" spans="2:15" ht="32.25">
      <c r="B99" s="224"/>
      <c r="C99" s="255" t="s">
        <v>370</v>
      </c>
      <c r="D99" s="255" t="s">
        <v>371</v>
      </c>
      <c r="E99" s="255" t="s">
        <v>463</v>
      </c>
      <c r="F99" s="256" t="s">
        <v>464</v>
      </c>
    </row>
    <row r="100" spans="2:15">
      <c r="B100" s="125" t="s">
        <v>367</v>
      </c>
      <c r="C100" s="123" t="s">
        <v>372</v>
      </c>
      <c r="D100" s="123">
        <v>120</v>
      </c>
      <c r="E100" s="123">
        <f>D100*0.75</f>
        <v>90</v>
      </c>
      <c r="F100" s="124">
        <f>D100*0.25</f>
        <v>30</v>
      </c>
    </row>
    <row r="101" spans="2:15" ht="15.75" thickBot="1">
      <c r="B101" s="126" t="s">
        <v>358</v>
      </c>
      <c r="C101" s="127" t="s">
        <v>373</v>
      </c>
      <c r="D101" s="127">
        <v>60</v>
      </c>
      <c r="E101" s="127">
        <f>D101*0.75</f>
        <v>45</v>
      </c>
      <c r="F101" s="128">
        <f>D101*0.25</f>
        <v>15</v>
      </c>
    </row>
    <row r="103" spans="2:15">
      <c r="B103" s="700" t="s">
        <v>620</v>
      </c>
      <c r="C103" s="700"/>
      <c r="D103" s="700"/>
      <c r="E103" s="700"/>
      <c r="F103" s="55"/>
      <c r="G103" s="55"/>
      <c r="H103" s="55"/>
      <c r="I103" s="55"/>
      <c r="J103" s="55"/>
      <c r="K103" s="55"/>
      <c r="L103" s="55"/>
      <c r="M103" s="55"/>
      <c r="N103" s="55"/>
      <c r="O103" s="55"/>
    </row>
    <row r="104" spans="2:15" ht="15.75" thickBot="1"/>
    <row r="105" spans="2:15" ht="18">
      <c r="B105" s="221"/>
      <c r="C105" s="413" t="s">
        <v>211</v>
      </c>
      <c r="D105" s="413" t="s">
        <v>458</v>
      </c>
      <c r="E105" s="414" t="s">
        <v>459</v>
      </c>
    </row>
    <row r="106" spans="2:15" ht="45">
      <c r="B106" s="278" t="s">
        <v>220</v>
      </c>
      <c r="C106" s="482">
        <f>H72</f>
        <v>151.5608</v>
      </c>
      <c r="D106" s="482">
        <f>J72</f>
        <v>58.349999999999994</v>
      </c>
      <c r="E106" s="536">
        <f>K72</f>
        <v>199.07999999999998</v>
      </c>
    </row>
    <row r="107" spans="2:15" ht="45">
      <c r="B107" s="278" t="s">
        <v>374</v>
      </c>
      <c r="C107" s="482">
        <f>E91+I84</f>
        <v>162.84500000000003</v>
      </c>
      <c r="D107" s="482">
        <f>J84</f>
        <v>71.905000000000001</v>
      </c>
      <c r="E107" s="536">
        <f>K84</f>
        <v>114.61000000000001</v>
      </c>
    </row>
    <row r="108" spans="2:15" s="16" customFormat="1" ht="15.75" thickBot="1">
      <c r="B108" s="277" t="s">
        <v>215</v>
      </c>
      <c r="C108" s="537">
        <f>C107-C106</f>
        <v>11.284200000000027</v>
      </c>
      <c r="D108" s="537">
        <f>D107-D106</f>
        <v>13.555000000000007</v>
      </c>
      <c r="E108" s="538">
        <f>E107-E106</f>
        <v>-84.46999999999997</v>
      </c>
    </row>
    <row r="110" spans="2:15">
      <c r="B110" s="700" t="s">
        <v>621</v>
      </c>
      <c r="C110" s="726"/>
      <c r="D110" s="726"/>
      <c r="E110" s="726"/>
      <c r="F110" s="726"/>
      <c r="G110" s="726"/>
      <c r="H110" s="726"/>
      <c r="I110" s="726"/>
      <c r="J110" s="726"/>
      <c r="K110" s="726"/>
    </row>
    <row r="111" spans="2:15" ht="15.75" thickBot="1"/>
    <row r="112" spans="2:15">
      <c r="B112" s="722" t="s">
        <v>559</v>
      </c>
      <c r="C112" s="362" t="s">
        <v>221</v>
      </c>
      <c r="D112" s="362" t="s">
        <v>221</v>
      </c>
      <c r="E112" s="362" t="s">
        <v>221</v>
      </c>
      <c r="F112" s="699" t="s">
        <v>718</v>
      </c>
      <c r="G112" s="699" t="s">
        <v>719</v>
      </c>
      <c r="H112" s="699" t="s">
        <v>606</v>
      </c>
      <c r="I112" s="362" t="s">
        <v>148</v>
      </c>
      <c r="J112" s="362" t="s">
        <v>148</v>
      </c>
      <c r="K112" s="364" t="s">
        <v>148</v>
      </c>
    </row>
    <row r="113" spans="2:11">
      <c r="B113" s="723"/>
      <c r="C113" s="363" t="s">
        <v>211</v>
      </c>
      <c r="D113" s="363" t="s">
        <v>183</v>
      </c>
      <c r="E113" s="363" t="s">
        <v>214</v>
      </c>
      <c r="F113" s="674"/>
      <c r="G113" s="674"/>
      <c r="H113" s="674"/>
      <c r="I113" s="363" t="s">
        <v>211</v>
      </c>
      <c r="J113" s="363" t="s">
        <v>183</v>
      </c>
      <c r="K113" s="365" t="s">
        <v>214</v>
      </c>
    </row>
    <row r="114" spans="2:11">
      <c r="B114" s="366" t="s">
        <v>560</v>
      </c>
      <c r="C114" s="382"/>
      <c r="D114" s="382"/>
      <c r="E114" s="382"/>
      <c r="F114" s="382"/>
      <c r="G114" s="382"/>
      <c r="H114" s="382"/>
      <c r="I114" s="382"/>
      <c r="J114" s="382"/>
      <c r="K114" s="383"/>
    </row>
    <row r="115" spans="2:11">
      <c r="B115" s="366" t="s">
        <v>561</v>
      </c>
      <c r="C115" s="382"/>
      <c r="D115" s="382"/>
      <c r="E115" s="382"/>
      <c r="F115" s="382"/>
      <c r="G115" s="382"/>
      <c r="H115" s="382"/>
      <c r="I115" s="382"/>
      <c r="J115" s="382"/>
      <c r="K115" s="383"/>
    </row>
    <row r="116" spans="2:11">
      <c r="B116" s="366" t="s">
        <v>561</v>
      </c>
      <c r="C116" s="382"/>
      <c r="D116" s="382"/>
      <c r="E116" s="382"/>
      <c r="F116" s="382"/>
      <c r="G116" s="382"/>
      <c r="H116" s="382"/>
      <c r="I116" s="382"/>
      <c r="J116" s="382"/>
      <c r="K116" s="383"/>
    </row>
    <row r="117" spans="2:11">
      <c r="B117" s="366" t="s">
        <v>561</v>
      </c>
      <c r="C117" s="382"/>
      <c r="D117" s="382"/>
      <c r="E117" s="382"/>
      <c r="F117" s="382"/>
      <c r="G117" s="382"/>
      <c r="H117" s="382"/>
      <c r="I117" s="382"/>
      <c r="J117" s="382"/>
      <c r="K117" s="383"/>
    </row>
    <row r="118" spans="2:11">
      <c r="B118" s="366" t="s">
        <v>562</v>
      </c>
      <c r="C118" s="382"/>
      <c r="D118" s="382"/>
      <c r="E118" s="382"/>
      <c r="F118" s="382"/>
      <c r="G118" s="382"/>
      <c r="H118" s="382"/>
      <c r="I118" s="382"/>
      <c r="J118" s="382"/>
      <c r="K118" s="383"/>
    </row>
    <row r="119" spans="2:11">
      <c r="B119" s="366" t="s">
        <v>563</v>
      </c>
      <c r="C119" s="382"/>
      <c r="D119" s="382"/>
      <c r="E119" s="382"/>
      <c r="F119" s="382"/>
      <c r="G119" s="382"/>
      <c r="H119" s="382"/>
      <c r="I119" s="382"/>
      <c r="J119" s="382"/>
      <c r="K119" s="383"/>
    </row>
    <row r="120" spans="2:11">
      <c r="B120" s="366" t="s">
        <v>561</v>
      </c>
      <c r="C120" s="382"/>
      <c r="D120" s="382"/>
      <c r="E120" s="382"/>
      <c r="F120" s="382"/>
      <c r="G120" s="382"/>
      <c r="H120" s="382"/>
      <c r="I120" s="382"/>
      <c r="J120" s="382"/>
      <c r="K120" s="383"/>
    </row>
    <row r="121" spans="2:11">
      <c r="B121" s="366" t="s">
        <v>561</v>
      </c>
      <c r="C121" s="382"/>
      <c r="D121" s="382"/>
      <c r="E121" s="382"/>
      <c r="F121" s="382"/>
      <c r="G121" s="382"/>
      <c r="H121" s="382"/>
      <c r="I121" s="382"/>
      <c r="J121" s="382"/>
      <c r="K121" s="383"/>
    </row>
    <row r="122" spans="2:11">
      <c r="B122" s="366" t="s">
        <v>564</v>
      </c>
      <c r="C122" s="382"/>
      <c r="D122" s="382"/>
      <c r="E122" s="382"/>
      <c r="F122" s="382"/>
      <c r="G122" s="382"/>
      <c r="H122" s="382"/>
      <c r="I122" s="382"/>
      <c r="J122" s="382"/>
      <c r="K122" s="383"/>
    </row>
    <row r="123" spans="2:11">
      <c r="B123" s="366" t="s">
        <v>565</v>
      </c>
      <c r="C123" s="382"/>
      <c r="D123" s="382"/>
      <c r="E123" s="382"/>
      <c r="F123" s="382"/>
      <c r="G123" s="382"/>
      <c r="H123" s="382"/>
      <c r="I123" s="382"/>
      <c r="J123" s="382"/>
      <c r="K123" s="383"/>
    </row>
    <row r="124" spans="2:11">
      <c r="B124" s="366" t="s">
        <v>566</v>
      </c>
      <c r="C124" s="382"/>
      <c r="D124" s="382"/>
      <c r="E124" s="382"/>
      <c r="F124" s="382"/>
      <c r="G124" s="382"/>
      <c r="H124" s="382"/>
      <c r="I124" s="382"/>
      <c r="J124" s="382"/>
      <c r="K124" s="383"/>
    </row>
    <row r="125" spans="2:11">
      <c r="B125" s="366" t="s">
        <v>168</v>
      </c>
      <c r="C125" s="382"/>
      <c r="D125" s="382"/>
      <c r="E125" s="382"/>
      <c r="F125" s="382"/>
      <c r="G125" s="382"/>
      <c r="H125" s="382"/>
      <c r="I125" s="382"/>
      <c r="J125" s="382"/>
      <c r="K125" s="383"/>
    </row>
    <row r="126" spans="2:11">
      <c r="B126" s="366" t="s">
        <v>168</v>
      </c>
      <c r="C126" s="382"/>
      <c r="D126" s="382"/>
      <c r="E126" s="382"/>
      <c r="F126" s="382"/>
      <c r="G126" s="382"/>
      <c r="H126" s="382"/>
      <c r="I126" s="382"/>
      <c r="J126" s="382"/>
      <c r="K126" s="383"/>
    </row>
    <row r="127" spans="2:11">
      <c r="B127" s="366" t="s">
        <v>168</v>
      </c>
      <c r="C127" s="382"/>
      <c r="D127" s="382"/>
      <c r="E127" s="382"/>
      <c r="F127" s="382"/>
      <c r="G127" s="382"/>
      <c r="H127" s="382"/>
      <c r="I127" s="382"/>
      <c r="J127" s="382"/>
      <c r="K127" s="383"/>
    </row>
    <row r="128" spans="2:11">
      <c r="B128" s="366" t="s">
        <v>567</v>
      </c>
      <c r="C128" s="382"/>
      <c r="D128" s="382"/>
      <c r="E128" s="382"/>
      <c r="F128" s="382"/>
      <c r="G128" s="382"/>
      <c r="H128" s="382"/>
      <c r="I128" s="382"/>
      <c r="J128" s="382"/>
      <c r="K128" s="383"/>
    </row>
    <row r="129" spans="2:11">
      <c r="B129" s="366" t="s">
        <v>568</v>
      </c>
      <c r="C129" s="382"/>
      <c r="D129" s="382"/>
      <c r="E129" s="382"/>
      <c r="F129" s="382"/>
      <c r="G129" s="382"/>
      <c r="H129" s="382"/>
      <c r="I129" s="382"/>
      <c r="J129" s="382"/>
      <c r="K129" s="383"/>
    </row>
    <row r="130" spans="2:11">
      <c r="B130" s="366" t="s">
        <v>168</v>
      </c>
      <c r="C130" s="382"/>
      <c r="D130" s="382"/>
      <c r="E130" s="382"/>
      <c r="F130" s="382"/>
      <c r="G130" s="382"/>
      <c r="H130" s="382"/>
      <c r="I130" s="382"/>
      <c r="J130" s="382"/>
      <c r="K130" s="383"/>
    </row>
    <row r="131" spans="2:11">
      <c r="B131" s="366" t="s">
        <v>168</v>
      </c>
      <c r="C131" s="382"/>
      <c r="D131" s="382"/>
      <c r="E131" s="382"/>
      <c r="F131" s="382"/>
      <c r="G131" s="382"/>
      <c r="H131" s="382"/>
      <c r="I131" s="382"/>
      <c r="J131" s="382"/>
      <c r="K131" s="383"/>
    </row>
    <row r="132" spans="2:11">
      <c r="B132" s="366" t="s">
        <v>168</v>
      </c>
      <c r="C132" s="382"/>
      <c r="D132" s="382"/>
      <c r="E132" s="382"/>
      <c r="F132" s="382"/>
      <c r="G132" s="382"/>
      <c r="H132" s="382"/>
      <c r="I132" s="382"/>
      <c r="J132" s="382"/>
      <c r="K132" s="383"/>
    </row>
    <row r="133" spans="2:11" ht="30">
      <c r="B133" s="278" t="s">
        <v>569</v>
      </c>
      <c r="C133" s="382"/>
      <c r="D133" s="382"/>
      <c r="E133" s="382"/>
      <c r="F133" s="382"/>
      <c r="G133" s="382"/>
      <c r="H133" s="382"/>
      <c r="I133" s="382"/>
      <c r="J133" s="382"/>
      <c r="K133" s="383"/>
    </row>
    <row r="134" spans="2:11" ht="15.75" thickBot="1">
      <c r="B134" s="539" t="s">
        <v>570</v>
      </c>
      <c r="C134" s="384"/>
      <c r="D134" s="384"/>
      <c r="E134" s="384"/>
      <c r="F134" s="384"/>
      <c r="G134" s="384"/>
      <c r="H134" s="384"/>
      <c r="I134" s="384"/>
      <c r="J134" s="384"/>
      <c r="K134" s="385"/>
    </row>
  </sheetData>
  <mergeCells count="54">
    <mergeCell ref="B2:L2"/>
    <mergeCell ref="B4:L4"/>
    <mergeCell ref="B76:B77"/>
    <mergeCell ref="C76:C77"/>
    <mergeCell ref="D76:D77"/>
    <mergeCell ref="E76:E77"/>
    <mergeCell ref="F77:H77"/>
    <mergeCell ref="I77:K77"/>
    <mergeCell ref="H57:K57"/>
    <mergeCell ref="B58:B59"/>
    <mergeCell ref="C58:C59"/>
    <mergeCell ref="D58:D59"/>
    <mergeCell ref="E58:E59"/>
    <mergeCell ref="F58:F59"/>
    <mergeCell ref="G58:G59"/>
    <mergeCell ref="D7:L7"/>
    <mergeCell ref="M6:O6"/>
    <mergeCell ref="B19:B20"/>
    <mergeCell ref="B6:B7"/>
    <mergeCell ref="D6:F6"/>
    <mergeCell ref="G6:I6"/>
    <mergeCell ref="J6:L6"/>
    <mergeCell ref="B9:B10"/>
    <mergeCell ref="B11:B12"/>
    <mergeCell ref="B13:B14"/>
    <mergeCell ref="B15:B16"/>
    <mergeCell ref="B17:B18"/>
    <mergeCell ref="C6:C7"/>
    <mergeCell ref="B21:B22"/>
    <mergeCell ref="B23:B24"/>
    <mergeCell ref="B112:B113"/>
    <mergeCell ref="F112:F113"/>
    <mergeCell ref="G112:G113"/>
    <mergeCell ref="B25:B26"/>
    <mergeCell ref="B27:B28"/>
    <mergeCell ref="B29:B30"/>
    <mergeCell ref="B31:B32"/>
    <mergeCell ref="B55:K55"/>
    <mergeCell ref="B103:E103"/>
    <mergeCell ref="B95:F95"/>
    <mergeCell ref="B74:K74"/>
    <mergeCell ref="B81:K81"/>
    <mergeCell ref="B86:E86"/>
    <mergeCell ref="H112:H113"/>
    <mergeCell ref="B110:K110"/>
    <mergeCell ref="K58:K59"/>
    <mergeCell ref="I58:I59"/>
    <mergeCell ref="H58:H59"/>
    <mergeCell ref="J58:J59"/>
    <mergeCell ref="B97:B98"/>
    <mergeCell ref="C97:D97"/>
    <mergeCell ref="E97:F97"/>
    <mergeCell ref="C98:D98"/>
    <mergeCell ref="E98:F98"/>
  </mergeCells>
  <pageMargins left="0.7" right="0.7" top="0.78740157499999996" bottom="0.78740157499999996" header="0.3" footer="0.3"/>
  <ignoredErrors>
    <ignoredError sqref="H62:K62"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7"/>
  <sheetViews>
    <sheetView tabSelected="1" topLeftCell="A10" workbookViewId="0">
      <selection activeCell="D30" sqref="D30"/>
    </sheetView>
  </sheetViews>
  <sheetFormatPr baseColWidth="10" defaultRowHeight="15"/>
  <cols>
    <col min="2" max="2" width="30.7109375" bestFit="1" customWidth="1"/>
    <col min="3" max="3" width="21.7109375" bestFit="1" customWidth="1"/>
    <col min="4" max="4" width="15.7109375" bestFit="1" customWidth="1"/>
    <col min="5" max="5" width="21.140625" bestFit="1" customWidth="1"/>
    <col min="6" max="6" width="17.140625" customWidth="1"/>
    <col min="7" max="7" width="18.42578125" customWidth="1"/>
    <col min="8" max="8" width="20.7109375" bestFit="1" customWidth="1"/>
    <col min="9" max="9" width="16.140625" bestFit="1" customWidth="1"/>
    <col min="10" max="10" width="22.85546875" customWidth="1"/>
  </cols>
  <sheetData>
    <row r="2" spans="2:10">
      <c r="B2" s="628" t="s">
        <v>251</v>
      </c>
      <c r="C2" s="628"/>
      <c r="D2" s="628"/>
      <c r="E2" s="628"/>
      <c r="F2" s="628"/>
      <c r="G2" s="628"/>
      <c r="H2" s="628"/>
      <c r="I2" s="628"/>
      <c r="J2" s="628"/>
    </row>
    <row r="3" spans="2:10">
      <c r="B3" s="56"/>
      <c r="C3" s="56"/>
      <c r="D3" s="56"/>
      <c r="E3" s="56"/>
      <c r="F3" s="56"/>
      <c r="G3" s="56"/>
      <c r="H3" s="56"/>
    </row>
    <row r="4" spans="2:10">
      <c r="B4" s="639" t="s">
        <v>451</v>
      </c>
      <c r="C4" s="639"/>
      <c r="D4" s="639"/>
      <c r="E4" s="639"/>
      <c r="F4" s="639"/>
      <c r="G4" s="639"/>
      <c r="H4" s="639"/>
      <c r="I4" s="639"/>
      <c r="J4" s="639"/>
    </row>
    <row r="5" spans="2:10" ht="15.75" thickBot="1"/>
    <row r="6" spans="2:10">
      <c r="B6" s="219" t="s">
        <v>231</v>
      </c>
      <c r="C6" s="412" t="s">
        <v>775</v>
      </c>
      <c r="D6" s="412" t="s">
        <v>776</v>
      </c>
      <c r="E6" s="412" t="s">
        <v>777</v>
      </c>
      <c r="F6" s="412" t="s">
        <v>232</v>
      </c>
      <c r="G6" s="412" t="s">
        <v>778</v>
      </c>
      <c r="H6" s="545" t="s">
        <v>723</v>
      </c>
      <c r="I6" s="546" t="s">
        <v>253</v>
      </c>
      <c r="J6" s="547" t="s">
        <v>252</v>
      </c>
    </row>
    <row r="7" spans="2:10">
      <c r="B7" s="95" t="s">
        <v>228</v>
      </c>
      <c r="C7" s="13">
        <f>D7/365*1000</f>
        <v>55.06849315068493</v>
      </c>
      <c r="D7" s="6">
        <v>20.100000000000001</v>
      </c>
      <c r="E7" s="6">
        <f>D7*6</f>
        <v>120.60000000000001</v>
      </c>
      <c r="F7" s="7">
        <f t="shared" ref="F7:F15" si="0">E7/G7</f>
        <v>8.0399999999999999E-2</v>
      </c>
      <c r="G7" s="609">
        <v>1500</v>
      </c>
      <c r="H7" s="550" t="s">
        <v>724</v>
      </c>
      <c r="I7" s="95"/>
      <c r="J7" s="96"/>
    </row>
    <row r="8" spans="2:10">
      <c r="B8" s="95" t="s">
        <v>200</v>
      </c>
      <c r="C8" s="13">
        <f t="shared" ref="C8:C27" si="1">D8/365*1000</f>
        <v>85.479452054794507</v>
      </c>
      <c r="D8" s="6">
        <v>31.2</v>
      </c>
      <c r="E8" s="6">
        <f t="shared" ref="E8:E27" si="2">D8*6</f>
        <v>187.2</v>
      </c>
      <c r="F8" s="7">
        <f t="shared" si="0"/>
        <v>9.3599999999999989E-2</v>
      </c>
      <c r="G8" s="609">
        <v>2000</v>
      </c>
      <c r="H8" s="550" t="s">
        <v>591</v>
      </c>
      <c r="I8" s="95"/>
      <c r="J8" s="96"/>
    </row>
    <row r="9" spans="2:10">
      <c r="B9" s="95" t="s">
        <v>233</v>
      </c>
      <c r="C9" s="13">
        <f t="shared" si="1"/>
        <v>88.219178082191789</v>
      </c>
      <c r="D9" s="6">
        <v>32.200000000000003</v>
      </c>
      <c r="E9" s="6">
        <f t="shared" si="2"/>
        <v>193.20000000000002</v>
      </c>
      <c r="F9" s="7">
        <f t="shared" si="0"/>
        <v>0.1288</v>
      </c>
      <c r="G9" s="609">
        <v>1500</v>
      </c>
      <c r="H9" s="550" t="s">
        <v>725</v>
      </c>
      <c r="I9" s="95"/>
      <c r="J9" s="96"/>
    </row>
    <row r="10" spans="2:10">
      <c r="B10" s="95" t="s">
        <v>234</v>
      </c>
      <c r="C10" s="13">
        <f t="shared" si="1"/>
        <v>35.068493150684937</v>
      </c>
      <c r="D10" s="6">
        <v>12.8</v>
      </c>
      <c r="E10" s="6">
        <f t="shared" si="2"/>
        <v>76.800000000000011</v>
      </c>
      <c r="F10" s="7">
        <f>E10/G10</f>
        <v>5.1200000000000009E-2</v>
      </c>
      <c r="G10" s="609">
        <v>1500</v>
      </c>
      <c r="H10" s="550" t="s">
        <v>726</v>
      </c>
      <c r="I10" s="95"/>
      <c r="J10" s="96"/>
    </row>
    <row r="11" spans="2:10">
      <c r="B11" s="95" t="s">
        <v>203</v>
      </c>
      <c r="C11" s="13">
        <f t="shared" si="1"/>
        <v>70.958904109589042</v>
      </c>
      <c r="D11" s="6">
        <v>25.9</v>
      </c>
      <c r="E11" s="6">
        <f t="shared" si="2"/>
        <v>155.39999999999998</v>
      </c>
      <c r="F11" s="7">
        <f>E11/G11</f>
        <v>0.11099999999999999</v>
      </c>
      <c r="G11" s="609">
        <v>1400</v>
      </c>
      <c r="H11" s="550" t="s">
        <v>727</v>
      </c>
      <c r="I11" s="95"/>
      <c r="J11" s="96"/>
    </row>
    <row r="12" spans="2:10">
      <c r="B12" s="95" t="s">
        <v>720</v>
      </c>
      <c r="C12" s="13">
        <f t="shared" si="1"/>
        <v>31.232876712328768</v>
      </c>
      <c r="D12" s="6">
        <v>11.4</v>
      </c>
      <c r="E12" s="6">
        <f t="shared" si="2"/>
        <v>68.400000000000006</v>
      </c>
      <c r="F12" s="7">
        <f t="shared" si="0"/>
        <v>6.8400000000000002E-2</v>
      </c>
      <c r="G12" s="609">
        <v>1000</v>
      </c>
      <c r="H12" s="550"/>
      <c r="I12" s="95"/>
      <c r="J12" s="96"/>
    </row>
    <row r="13" spans="2:10">
      <c r="B13" s="95" t="s">
        <v>235</v>
      </c>
      <c r="C13" s="13">
        <f t="shared" si="1"/>
        <v>112.32876712328766</v>
      </c>
      <c r="D13" s="6">
        <v>41</v>
      </c>
      <c r="E13" s="6">
        <f t="shared" si="2"/>
        <v>246</v>
      </c>
      <c r="F13" s="10">
        <f>E13/G13</f>
        <v>3.7846153846153849E-2</v>
      </c>
      <c r="G13" s="609">
        <v>6500</v>
      </c>
      <c r="H13" s="754"/>
      <c r="I13" s="95"/>
      <c r="J13" s="96"/>
    </row>
    <row r="14" spans="2:10">
      <c r="B14" s="95" t="s">
        <v>236</v>
      </c>
      <c r="C14" s="13">
        <f t="shared" si="1"/>
        <v>123.2876712328767</v>
      </c>
      <c r="D14" s="6">
        <v>45</v>
      </c>
      <c r="E14" s="6">
        <f t="shared" si="2"/>
        <v>270</v>
      </c>
      <c r="F14" s="7">
        <f t="shared" si="0"/>
        <v>0.13500000000000001</v>
      </c>
      <c r="G14" s="609">
        <v>2000</v>
      </c>
      <c r="H14" s="550"/>
      <c r="I14" s="95" t="s">
        <v>728</v>
      </c>
      <c r="J14" s="96" t="s">
        <v>237</v>
      </c>
    </row>
    <row r="15" spans="2:10">
      <c r="B15" s="95" t="s">
        <v>238</v>
      </c>
      <c r="C15" s="13">
        <f t="shared" si="1"/>
        <v>41.095890410958901</v>
      </c>
      <c r="D15" s="6">
        <v>15</v>
      </c>
      <c r="E15" s="6">
        <f t="shared" si="2"/>
        <v>90</v>
      </c>
      <c r="F15" s="7">
        <f t="shared" si="0"/>
        <v>0.12857142857142856</v>
      </c>
      <c r="G15" s="549">
        <v>700</v>
      </c>
      <c r="H15" s="550"/>
      <c r="I15" s="95" t="s">
        <v>728</v>
      </c>
      <c r="J15" s="96" t="s">
        <v>239</v>
      </c>
    </row>
    <row r="16" spans="2:10">
      <c r="B16" s="95" t="s">
        <v>449</v>
      </c>
      <c r="C16" s="13">
        <f t="shared" si="1"/>
        <v>13.698630136986301</v>
      </c>
      <c r="D16" s="6">
        <v>5</v>
      </c>
      <c r="E16" s="6">
        <f t="shared" si="2"/>
        <v>30</v>
      </c>
      <c r="F16" s="7"/>
      <c r="G16" s="549"/>
      <c r="H16" s="550"/>
      <c r="I16" s="95" t="s">
        <v>728</v>
      </c>
      <c r="J16" s="96"/>
    </row>
    <row r="17" spans="2:10">
      <c r="B17" s="95" t="s">
        <v>450</v>
      </c>
      <c r="C17" s="13">
        <f t="shared" si="1"/>
        <v>2.7397260273972601</v>
      </c>
      <c r="D17" s="6">
        <v>1</v>
      </c>
      <c r="E17" s="6">
        <f t="shared" si="2"/>
        <v>6</v>
      </c>
      <c r="F17" s="14">
        <f>E17/G17</f>
        <v>1.1999999999999999E-3</v>
      </c>
      <c r="G17" s="609">
        <v>5000</v>
      </c>
      <c r="H17" s="550"/>
      <c r="I17" s="95" t="s">
        <v>728</v>
      </c>
      <c r="J17" s="96" t="s">
        <v>240</v>
      </c>
    </row>
    <row r="18" spans="2:10">
      <c r="B18" s="95" t="s">
        <v>241</v>
      </c>
      <c r="C18" s="13">
        <f t="shared" si="1"/>
        <v>82.191780821917803</v>
      </c>
      <c r="D18" s="6">
        <v>30</v>
      </c>
      <c r="E18" s="6">
        <f t="shared" si="2"/>
        <v>180</v>
      </c>
      <c r="F18" s="10">
        <f>E18/G18</f>
        <v>0.02</v>
      </c>
      <c r="G18" s="609">
        <v>9000</v>
      </c>
      <c r="H18" s="550"/>
      <c r="I18" s="95" t="s">
        <v>728</v>
      </c>
      <c r="J18" s="96" t="s">
        <v>729</v>
      </c>
    </row>
    <row r="19" spans="2:10">
      <c r="B19" s="95" t="s">
        <v>721</v>
      </c>
      <c r="C19" s="13">
        <f t="shared" si="1"/>
        <v>12.328767123287671</v>
      </c>
      <c r="D19" s="6">
        <v>4.5</v>
      </c>
      <c r="E19" s="6">
        <f t="shared" si="2"/>
        <v>27</v>
      </c>
      <c r="F19" s="548" t="s">
        <v>88</v>
      </c>
      <c r="G19" s="549"/>
      <c r="H19" s="550"/>
      <c r="I19" s="95" t="s">
        <v>728</v>
      </c>
      <c r="J19" s="96"/>
    </row>
    <row r="20" spans="2:10">
      <c r="B20" s="95" t="s">
        <v>242</v>
      </c>
      <c r="C20" s="13">
        <f t="shared" si="1"/>
        <v>8.7671232876712342</v>
      </c>
      <c r="D20" s="6">
        <v>3.2</v>
      </c>
      <c r="E20" s="6">
        <f>D20*6</f>
        <v>19.200000000000003</v>
      </c>
      <c r="F20" s="10">
        <f t="shared" ref="F20:F30" si="3">E20/G20</f>
        <v>3.8400000000000004E-2</v>
      </c>
      <c r="G20" s="549">
        <v>500</v>
      </c>
      <c r="H20" s="550"/>
      <c r="I20" s="95"/>
      <c r="J20" s="96"/>
    </row>
    <row r="21" spans="2:10">
      <c r="B21" s="95" t="s">
        <v>722</v>
      </c>
      <c r="C21" s="13">
        <f t="shared" si="1"/>
        <v>3.5616438356164388</v>
      </c>
      <c r="D21" s="6">
        <v>1.3</v>
      </c>
      <c r="E21" s="6">
        <f t="shared" si="2"/>
        <v>7.8000000000000007</v>
      </c>
      <c r="F21" s="10">
        <f t="shared" si="3"/>
        <v>1.5600000000000001E-2</v>
      </c>
      <c r="G21" s="549">
        <v>500</v>
      </c>
      <c r="H21" s="550"/>
      <c r="I21" s="95"/>
      <c r="J21" s="96"/>
    </row>
    <row r="22" spans="2:10">
      <c r="B22" s="95" t="s">
        <v>20</v>
      </c>
      <c r="C22" s="13">
        <f t="shared" si="1"/>
        <v>1.3698630136986301</v>
      </c>
      <c r="D22" s="6">
        <v>0.5</v>
      </c>
      <c r="E22" s="6">
        <f t="shared" si="2"/>
        <v>3</v>
      </c>
      <c r="F22" s="10">
        <f t="shared" si="3"/>
        <v>6.0000000000000001E-3</v>
      </c>
      <c r="G22" s="549">
        <v>500</v>
      </c>
      <c r="H22" s="550"/>
      <c r="I22" s="95"/>
      <c r="J22" s="96"/>
    </row>
    <row r="23" spans="2:10">
      <c r="B23" s="95" t="s">
        <v>243</v>
      </c>
      <c r="C23" s="13">
        <f t="shared" si="1"/>
        <v>0.54794520547945214</v>
      </c>
      <c r="D23" s="6">
        <v>0.2</v>
      </c>
      <c r="E23" s="6">
        <f t="shared" si="2"/>
        <v>1.2000000000000002</v>
      </c>
      <c r="F23" s="10"/>
      <c r="G23" s="549"/>
      <c r="H23" s="550"/>
      <c r="I23" s="95"/>
      <c r="J23" s="96"/>
    </row>
    <row r="24" spans="2:10">
      <c r="B24" s="95" t="s">
        <v>244</v>
      </c>
      <c r="C24" s="13">
        <f t="shared" si="1"/>
        <v>40.273972602739725</v>
      </c>
      <c r="D24" s="6">
        <v>14.7</v>
      </c>
      <c r="E24" s="6">
        <f t="shared" si="2"/>
        <v>88.199999999999989</v>
      </c>
      <c r="F24" s="10">
        <f t="shared" si="3"/>
        <v>0.17639999999999997</v>
      </c>
      <c r="G24" s="549">
        <v>500</v>
      </c>
      <c r="H24" s="550"/>
      <c r="I24" s="95"/>
      <c r="J24" s="96"/>
    </row>
    <row r="25" spans="2:10">
      <c r="B25" s="95" t="s">
        <v>245</v>
      </c>
      <c r="C25" s="13">
        <f t="shared" si="1"/>
        <v>0.82191780821917804</v>
      </c>
      <c r="D25" s="6">
        <v>0.3</v>
      </c>
      <c r="E25" s="6">
        <f t="shared" si="2"/>
        <v>1.7999999999999998</v>
      </c>
      <c r="F25" s="14">
        <f>E25/G25</f>
        <v>3.5999999999999995E-3</v>
      </c>
      <c r="G25" s="549">
        <v>500</v>
      </c>
      <c r="H25" s="550"/>
      <c r="I25" s="95"/>
      <c r="J25" s="96"/>
    </row>
    <row r="26" spans="2:10">
      <c r="B26" s="95" t="s">
        <v>246</v>
      </c>
      <c r="C26" s="13">
        <f t="shared" si="1"/>
        <v>1.3698630136986301</v>
      </c>
      <c r="D26" s="6">
        <v>0.5</v>
      </c>
      <c r="E26" s="6">
        <f t="shared" si="2"/>
        <v>3</v>
      </c>
      <c r="F26" s="14"/>
      <c r="G26" s="549"/>
      <c r="H26" s="550"/>
      <c r="I26" s="95"/>
      <c r="J26" s="96"/>
    </row>
    <row r="27" spans="2:10">
      <c r="B27" s="95" t="s">
        <v>247</v>
      </c>
      <c r="C27" s="13">
        <f t="shared" si="1"/>
        <v>32.328767123287669</v>
      </c>
      <c r="D27" s="6">
        <f>133-SUM(D14:D26)</f>
        <v>11.799999999999997</v>
      </c>
      <c r="E27" s="6">
        <f t="shared" si="2"/>
        <v>70.799999999999983</v>
      </c>
      <c r="F27" s="14"/>
      <c r="G27" s="549"/>
      <c r="H27" s="550"/>
      <c r="I27" s="95"/>
      <c r="J27" s="96"/>
    </row>
    <row r="28" spans="2:10" s="16" customFormat="1">
      <c r="B28" s="540" t="s">
        <v>188</v>
      </c>
      <c r="C28" s="541">
        <f>SUM(C7:C27)</f>
        <v>842.73972602739718</v>
      </c>
      <c r="D28" s="541">
        <f t="shared" ref="D28:G28" si="4">SUM(D7:D27)</f>
        <v>307.60000000000002</v>
      </c>
      <c r="E28" s="610">
        <f t="shared" si="4"/>
        <v>1845.6</v>
      </c>
      <c r="F28" s="541">
        <f>SUM(F7:F27)</f>
        <v>1.0960175824175824</v>
      </c>
      <c r="G28" s="610">
        <f t="shared" si="4"/>
        <v>34600</v>
      </c>
      <c r="H28" s="542"/>
      <c r="I28" s="540"/>
      <c r="J28" s="544"/>
    </row>
    <row r="29" spans="2:10" s="16" customFormat="1">
      <c r="B29" s="417" t="s">
        <v>248</v>
      </c>
      <c r="C29" s="239" t="s">
        <v>793</v>
      </c>
      <c r="D29" s="239" t="s">
        <v>776</v>
      </c>
      <c r="E29" s="239" t="s">
        <v>777</v>
      </c>
      <c r="F29" s="543"/>
      <c r="G29" s="218"/>
      <c r="H29" s="291"/>
      <c r="I29" s="417"/>
      <c r="J29" s="220"/>
    </row>
    <row r="30" spans="2:10">
      <c r="B30" s="95" t="s">
        <v>249</v>
      </c>
      <c r="C30" s="13">
        <v>5</v>
      </c>
      <c r="D30" s="13">
        <f>C30*365</f>
        <v>1825</v>
      </c>
      <c r="E30" s="566">
        <f>D30*6</f>
        <v>10950</v>
      </c>
      <c r="F30" s="14">
        <f t="shared" si="3"/>
        <v>1.095</v>
      </c>
      <c r="G30" s="566">
        <v>10000</v>
      </c>
      <c r="H30" s="9"/>
      <c r="I30" s="95" t="s">
        <v>730</v>
      </c>
      <c r="J30" s="96" t="s">
        <v>779</v>
      </c>
    </row>
    <row r="31" spans="2:10" s="16" customFormat="1" ht="15.75" thickBot="1">
      <c r="B31" s="551" t="s">
        <v>250</v>
      </c>
      <c r="C31" s="749">
        <f>SUM(F7:F27)+F30</f>
        <v>2.1910175824175822</v>
      </c>
      <c r="D31" s="749"/>
      <c r="E31" s="749"/>
      <c r="F31" s="749"/>
      <c r="G31" s="749"/>
      <c r="H31" s="750"/>
      <c r="I31" s="551"/>
      <c r="J31" s="552"/>
    </row>
    <row r="33" spans="2:6">
      <c r="B33" t="s">
        <v>731</v>
      </c>
      <c r="D33" s="122"/>
      <c r="E33" s="122"/>
      <c r="F33" s="122"/>
    </row>
    <row r="34" spans="2:6">
      <c r="B34" t="s">
        <v>622</v>
      </c>
      <c r="D34" s="122"/>
      <c r="E34" s="122"/>
      <c r="F34" s="122"/>
    </row>
    <row r="35" spans="2:6">
      <c r="D35" s="122"/>
      <c r="E35" s="122"/>
      <c r="F35" s="122"/>
    </row>
    <row r="36" spans="2:6">
      <c r="D36" s="122"/>
      <c r="E36" s="122"/>
      <c r="F36" s="122"/>
    </row>
    <row r="37" spans="2:6">
      <c r="B37" s="553"/>
    </row>
  </sheetData>
  <mergeCells count="3">
    <mergeCell ref="C31:H31"/>
    <mergeCell ref="B2:J2"/>
    <mergeCell ref="B4:J4"/>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74"/>
  <sheetViews>
    <sheetView topLeftCell="A58" workbookViewId="0">
      <selection activeCell="G74" sqref="G74"/>
    </sheetView>
  </sheetViews>
  <sheetFormatPr baseColWidth="10" defaultColWidth="10.7109375" defaultRowHeight="15"/>
  <cols>
    <col min="1" max="2" width="10.7109375" style="15"/>
    <col min="3" max="3" width="15.140625" style="15" customWidth="1"/>
    <col min="4" max="4" width="12.28515625" style="15" customWidth="1"/>
    <col min="5" max="7" width="10.7109375" style="15"/>
    <col min="8" max="8" width="16.28515625" style="15" customWidth="1"/>
    <col min="9" max="9" width="12.42578125" style="15" customWidth="1"/>
    <col min="10" max="16384" width="10.7109375" style="15"/>
  </cols>
  <sheetData>
    <row r="2" spans="2:10">
      <c r="B2" s="633" t="s">
        <v>26</v>
      </c>
      <c r="C2" s="633"/>
      <c r="D2" s="633"/>
      <c r="E2" s="633"/>
      <c r="F2" s="633"/>
      <c r="G2" s="633"/>
      <c r="H2" s="633"/>
      <c r="I2" s="633"/>
      <c r="J2" s="633"/>
    </row>
    <row r="4" spans="2:10">
      <c r="B4" s="639" t="s">
        <v>27</v>
      </c>
      <c r="C4" s="639"/>
      <c r="D4" s="639"/>
      <c r="E4" s="639"/>
      <c r="G4" s="641" t="s">
        <v>67</v>
      </c>
      <c r="H4" s="641"/>
      <c r="I4" s="641"/>
      <c r="J4" s="641"/>
    </row>
    <row r="5" spans="2:10" ht="15.75" thickBot="1"/>
    <row r="6" spans="2:10">
      <c r="B6" s="647" t="s">
        <v>8</v>
      </c>
      <c r="C6" s="649" t="s">
        <v>30</v>
      </c>
      <c r="D6" s="635" t="s">
        <v>29</v>
      </c>
      <c r="E6" s="636"/>
      <c r="G6" s="643" t="s">
        <v>8</v>
      </c>
      <c r="H6" s="645" t="s">
        <v>30</v>
      </c>
      <c r="I6" s="637" t="s">
        <v>29</v>
      </c>
      <c r="J6" s="638"/>
    </row>
    <row r="7" spans="2:10">
      <c r="B7" s="648"/>
      <c r="C7" s="650"/>
      <c r="D7" s="232" t="s">
        <v>31</v>
      </c>
      <c r="E7" s="233" t="s">
        <v>32</v>
      </c>
      <c r="G7" s="644"/>
      <c r="H7" s="646"/>
      <c r="I7" s="232" t="s">
        <v>31</v>
      </c>
      <c r="J7" s="233" t="s">
        <v>32</v>
      </c>
    </row>
    <row r="8" spans="2:10">
      <c r="B8" s="77">
        <v>1</v>
      </c>
      <c r="C8" s="73" t="s">
        <v>33</v>
      </c>
      <c r="D8" s="72" t="s">
        <v>34</v>
      </c>
      <c r="E8" s="78" t="s">
        <v>35</v>
      </c>
      <c r="G8" s="77">
        <v>1</v>
      </c>
      <c r="H8" s="72" t="s">
        <v>69</v>
      </c>
      <c r="I8" s="72" t="s">
        <v>70</v>
      </c>
      <c r="J8" s="78" t="s">
        <v>71</v>
      </c>
    </row>
    <row r="9" spans="2:10">
      <c r="B9" s="77">
        <v>2</v>
      </c>
      <c r="C9" s="73" t="s">
        <v>39</v>
      </c>
      <c r="D9" s="72" t="s">
        <v>40</v>
      </c>
      <c r="E9" s="78" t="s">
        <v>41</v>
      </c>
      <c r="G9" s="77">
        <v>2</v>
      </c>
      <c r="H9" s="462" t="s">
        <v>75</v>
      </c>
      <c r="I9" s="72" t="s">
        <v>76</v>
      </c>
      <c r="J9" s="78" t="s">
        <v>77</v>
      </c>
    </row>
    <row r="10" spans="2:10" ht="15.75" thickBot="1">
      <c r="B10" s="77">
        <v>3</v>
      </c>
      <c r="C10" s="72" t="s">
        <v>44</v>
      </c>
      <c r="D10" s="72" t="s">
        <v>45</v>
      </c>
      <c r="E10" s="78" t="s">
        <v>46</v>
      </c>
      <c r="G10" s="74">
        <v>3</v>
      </c>
      <c r="H10" s="75" t="s">
        <v>154</v>
      </c>
      <c r="I10" s="75" t="s">
        <v>35</v>
      </c>
      <c r="J10" s="76" t="s">
        <v>80</v>
      </c>
    </row>
    <row r="11" spans="2:10">
      <c r="B11" s="77">
        <v>4</v>
      </c>
      <c r="C11" s="72" t="s">
        <v>50</v>
      </c>
      <c r="D11" s="72" t="s">
        <v>51</v>
      </c>
      <c r="E11" s="78" t="s">
        <v>52</v>
      </c>
      <c r="G11" s="62"/>
      <c r="H11" s="61"/>
      <c r="I11" s="61"/>
      <c r="J11" s="61"/>
    </row>
    <row r="12" spans="2:10">
      <c r="B12" s="77">
        <v>5</v>
      </c>
      <c r="C12" s="456" t="s">
        <v>50</v>
      </c>
      <c r="D12" s="72" t="s">
        <v>56</v>
      </c>
      <c r="E12" s="78" t="s">
        <v>57</v>
      </c>
      <c r="G12" s="641" t="s">
        <v>83</v>
      </c>
      <c r="H12" s="641"/>
      <c r="I12" s="641"/>
      <c r="J12" s="641"/>
    </row>
    <row r="13" spans="2:10" ht="15.75" thickBot="1">
      <c r="B13" s="74">
        <v>6</v>
      </c>
      <c r="C13" s="75" t="s">
        <v>60</v>
      </c>
      <c r="D13" s="75" t="s">
        <v>56</v>
      </c>
      <c r="E13" s="76" t="s">
        <v>57</v>
      </c>
    </row>
    <row r="14" spans="2:10">
      <c r="B14" s="451"/>
      <c r="C14" s="61"/>
      <c r="D14" s="61"/>
      <c r="E14" s="61"/>
      <c r="G14" s="647" t="s">
        <v>8</v>
      </c>
      <c r="H14" s="649" t="s">
        <v>30</v>
      </c>
      <c r="I14" s="637" t="s">
        <v>29</v>
      </c>
      <c r="J14" s="638"/>
    </row>
    <row r="15" spans="2:10">
      <c r="B15" s="62"/>
      <c r="C15" s="61"/>
      <c r="D15" s="61"/>
      <c r="E15" s="61"/>
      <c r="G15" s="648"/>
      <c r="H15" s="650"/>
      <c r="I15" s="232" t="s">
        <v>31</v>
      </c>
      <c r="J15" s="233" t="s">
        <v>32</v>
      </c>
    </row>
    <row r="16" spans="2:10">
      <c r="B16" s="640" t="s">
        <v>66</v>
      </c>
      <c r="C16" s="640"/>
      <c r="D16" s="640"/>
      <c r="E16" s="640"/>
      <c r="G16" s="65">
        <v>1</v>
      </c>
      <c r="H16" s="66" t="s">
        <v>87</v>
      </c>
      <c r="I16" s="61" t="s">
        <v>88</v>
      </c>
      <c r="J16" s="60" t="s">
        <v>89</v>
      </c>
    </row>
    <row r="17" spans="2:10" ht="15.75" thickBot="1">
      <c r="G17" s="65">
        <v>2</v>
      </c>
      <c r="H17" s="66" t="s">
        <v>91</v>
      </c>
      <c r="I17" s="61" t="s">
        <v>92</v>
      </c>
      <c r="J17" s="60" t="s">
        <v>37</v>
      </c>
    </row>
    <row r="18" spans="2:10" ht="15.75" thickBot="1">
      <c r="B18" s="643" t="s">
        <v>8</v>
      </c>
      <c r="C18" s="645" t="s">
        <v>30</v>
      </c>
      <c r="D18" s="635" t="s">
        <v>29</v>
      </c>
      <c r="E18" s="636"/>
      <c r="G18" s="64">
        <v>3</v>
      </c>
      <c r="H18" s="67" t="s">
        <v>93</v>
      </c>
      <c r="I18" s="59" t="s">
        <v>88</v>
      </c>
      <c r="J18" s="58" t="s">
        <v>49</v>
      </c>
    </row>
    <row r="19" spans="2:10">
      <c r="B19" s="644"/>
      <c r="C19" s="646"/>
      <c r="D19" s="232" t="s">
        <v>31</v>
      </c>
      <c r="E19" s="233" t="s">
        <v>32</v>
      </c>
      <c r="H19" s="63"/>
    </row>
    <row r="20" spans="2:10">
      <c r="B20" s="77">
        <v>1</v>
      </c>
      <c r="C20" s="72" t="s">
        <v>631</v>
      </c>
      <c r="D20" s="72" t="s">
        <v>45</v>
      </c>
      <c r="E20" s="78" t="s">
        <v>68</v>
      </c>
      <c r="G20" s="62"/>
      <c r="H20" s="61"/>
      <c r="I20" s="61"/>
      <c r="J20" s="61"/>
    </row>
    <row r="21" spans="2:10">
      <c r="B21" s="77">
        <v>2</v>
      </c>
      <c r="C21" s="72" t="s">
        <v>72</v>
      </c>
      <c r="D21" s="72" t="s">
        <v>73</v>
      </c>
      <c r="E21" s="78" t="s">
        <v>74</v>
      </c>
      <c r="G21" s="641" t="s">
        <v>121</v>
      </c>
      <c r="H21" s="641"/>
      <c r="I21" s="641"/>
      <c r="J21" s="641"/>
    </row>
    <row r="22" spans="2:10" ht="15.75" thickBot="1">
      <c r="B22" s="77">
        <v>3</v>
      </c>
      <c r="C22" s="72" t="s">
        <v>632</v>
      </c>
      <c r="D22" s="72" t="s">
        <v>78</v>
      </c>
      <c r="E22" s="78" t="s">
        <v>79</v>
      </c>
    </row>
    <row r="23" spans="2:10">
      <c r="B23" s="77">
        <v>4</v>
      </c>
      <c r="C23" s="72" t="s">
        <v>633</v>
      </c>
      <c r="D23" s="72" t="s">
        <v>34</v>
      </c>
      <c r="E23" s="78" t="s">
        <v>35</v>
      </c>
      <c r="G23" s="643" t="s">
        <v>8</v>
      </c>
      <c r="H23" s="645" t="s">
        <v>30</v>
      </c>
      <c r="I23" s="635" t="s">
        <v>29</v>
      </c>
      <c r="J23" s="636"/>
    </row>
    <row r="24" spans="2:10">
      <c r="B24" s="77">
        <v>5</v>
      </c>
      <c r="C24" s="86" t="s">
        <v>81</v>
      </c>
      <c r="D24" s="72" t="s">
        <v>82</v>
      </c>
      <c r="E24" s="78" t="s">
        <v>74</v>
      </c>
      <c r="G24" s="644"/>
      <c r="H24" s="646"/>
      <c r="I24" s="232" t="s">
        <v>31</v>
      </c>
      <c r="J24" s="233" t="s">
        <v>32</v>
      </c>
    </row>
    <row r="25" spans="2:10">
      <c r="B25" s="77">
        <v>6</v>
      </c>
      <c r="C25" s="72" t="s">
        <v>84</v>
      </c>
      <c r="D25" s="72" t="s">
        <v>85</v>
      </c>
      <c r="E25" s="78" t="s">
        <v>68</v>
      </c>
      <c r="G25" s="77">
        <v>1</v>
      </c>
      <c r="H25" s="72" t="s">
        <v>126</v>
      </c>
      <c r="I25" s="72" t="s">
        <v>127</v>
      </c>
      <c r="J25" s="78" t="s">
        <v>128</v>
      </c>
    </row>
    <row r="26" spans="2:10" ht="15.75" thickBot="1">
      <c r="B26" s="74">
        <v>7</v>
      </c>
      <c r="C26" s="75" t="s">
        <v>634</v>
      </c>
      <c r="D26" s="75" t="s">
        <v>57</v>
      </c>
      <c r="E26" s="76" t="s">
        <v>86</v>
      </c>
      <c r="G26" s="77">
        <v>2</v>
      </c>
      <c r="H26" s="72" t="s">
        <v>130</v>
      </c>
      <c r="I26" s="72" t="s">
        <v>48</v>
      </c>
      <c r="J26" s="78" t="s">
        <v>55</v>
      </c>
    </row>
    <row r="27" spans="2:10" ht="15.75" thickBot="1">
      <c r="G27" s="74">
        <v>3</v>
      </c>
      <c r="H27" s="75" t="s">
        <v>131</v>
      </c>
      <c r="I27" s="75" t="s">
        <v>132</v>
      </c>
      <c r="J27" s="76" t="s">
        <v>133</v>
      </c>
    </row>
    <row r="28" spans="2:10">
      <c r="B28" s="639" t="s">
        <v>90</v>
      </c>
      <c r="C28" s="639"/>
      <c r="D28" s="639"/>
      <c r="E28" s="639"/>
      <c r="G28" s="62"/>
      <c r="H28" s="61"/>
      <c r="I28" s="61"/>
      <c r="J28" s="61"/>
    </row>
    <row r="29" spans="2:10" ht="15.75" thickBot="1">
      <c r="B29" s="56"/>
      <c r="C29" s="56"/>
      <c r="D29" s="56"/>
      <c r="E29" s="56"/>
      <c r="G29" s="641" t="s">
        <v>129</v>
      </c>
      <c r="H29" s="641"/>
      <c r="I29" s="641"/>
      <c r="J29" s="641"/>
    </row>
    <row r="30" spans="2:10" ht="15.75" thickBot="1">
      <c r="B30" s="643" t="s">
        <v>8</v>
      </c>
      <c r="C30" s="645" t="s">
        <v>30</v>
      </c>
      <c r="D30" s="635" t="s">
        <v>29</v>
      </c>
      <c r="E30" s="636"/>
    </row>
    <row r="31" spans="2:10">
      <c r="B31" s="644"/>
      <c r="C31" s="646"/>
      <c r="D31" s="232" t="s">
        <v>31</v>
      </c>
      <c r="E31" s="233" t="s">
        <v>32</v>
      </c>
      <c r="G31" s="643" t="s">
        <v>8</v>
      </c>
      <c r="H31" s="645" t="s">
        <v>30</v>
      </c>
      <c r="I31" s="635" t="s">
        <v>29</v>
      </c>
      <c r="J31" s="636"/>
    </row>
    <row r="32" spans="2:10">
      <c r="B32" s="77">
        <v>1</v>
      </c>
      <c r="C32" s="72" t="s">
        <v>95</v>
      </c>
      <c r="D32" s="72" t="s">
        <v>38</v>
      </c>
      <c r="E32" s="78" t="s">
        <v>96</v>
      </c>
      <c r="G32" s="644"/>
      <c r="H32" s="646"/>
      <c r="I32" s="232" t="s">
        <v>31</v>
      </c>
      <c r="J32" s="233" t="s">
        <v>32</v>
      </c>
    </row>
    <row r="33" spans="2:10" ht="15.75" thickBot="1">
      <c r="B33" s="77">
        <v>2</v>
      </c>
      <c r="C33" s="72" t="s">
        <v>635</v>
      </c>
      <c r="D33" s="72" t="s">
        <v>97</v>
      </c>
      <c r="E33" s="78" t="s">
        <v>96</v>
      </c>
      <c r="G33" s="74">
        <v>1</v>
      </c>
      <c r="H33" s="75" t="s">
        <v>134</v>
      </c>
      <c r="I33" s="75" t="s">
        <v>135</v>
      </c>
      <c r="J33" s="76" t="s">
        <v>102</v>
      </c>
    </row>
    <row r="34" spans="2:10">
      <c r="B34" s="77">
        <v>3</v>
      </c>
      <c r="C34" s="72" t="s">
        <v>98</v>
      </c>
      <c r="D34" s="72" t="s">
        <v>99</v>
      </c>
      <c r="E34" s="78" t="s">
        <v>65</v>
      </c>
      <c r="G34" s="642"/>
      <c r="H34" s="642"/>
      <c r="I34" s="642"/>
      <c r="J34" s="642"/>
    </row>
    <row r="35" spans="2:10">
      <c r="B35" s="77">
        <v>4</v>
      </c>
      <c r="C35" s="72" t="s">
        <v>100</v>
      </c>
      <c r="D35" s="72" t="s">
        <v>101</v>
      </c>
      <c r="E35" s="78" t="s">
        <v>102</v>
      </c>
      <c r="G35" s="641" t="s">
        <v>394</v>
      </c>
      <c r="H35" s="641"/>
      <c r="I35" s="641"/>
      <c r="J35" s="641"/>
    </row>
    <row r="36" spans="2:10" ht="15.75" thickBot="1">
      <c r="B36" s="77">
        <v>5</v>
      </c>
      <c r="C36" s="72" t="s">
        <v>103</v>
      </c>
      <c r="D36" s="72" t="s">
        <v>104</v>
      </c>
      <c r="E36" s="78" t="s">
        <v>79</v>
      </c>
    </row>
    <row r="37" spans="2:10" ht="30" customHeight="1">
      <c r="B37" s="77">
        <v>6</v>
      </c>
      <c r="C37" s="85" t="s">
        <v>108</v>
      </c>
      <c r="D37" s="72" t="s">
        <v>88</v>
      </c>
      <c r="E37" s="78" t="s">
        <v>104</v>
      </c>
      <c r="G37" s="643" t="s">
        <v>8</v>
      </c>
      <c r="H37" s="651" t="s">
        <v>30</v>
      </c>
      <c r="I37" s="637" t="s">
        <v>29</v>
      </c>
      <c r="J37" s="638"/>
    </row>
    <row r="38" spans="2:10">
      <c r="B38" s="77">
        <v>7</v>
      </c>
      <c r="C38" s="72" t="s">
        <v>109</v>
      </c>
      <c r="D38" s="72" t="s">
        <v>38</v>
      </c>
      <c r="E38" s="78" t="s">
        <v>48</v>
      </c>
      <c r="G38" s="644"/>
      <c r="H38" s="652"/>
      <c r="I38" s="290" t="s">
        <v>31</v>
      </c>
      <c r="J38" s="289" t="s">
        <v>32</v>
      </c>
    </row>
    <row r="39" spans="2:10" ht="15.75" thickBot="1">
      <c r="B39" s="77">
        <v>8</v>
      </c>
      <c r="C39" s="72" t="s">
        <v>110</v>
      </c>
      <c r="D39" s="72" t="s">
        <v>111</v>
      </c>
      <c r="E39" s="78" t="s">
        <v>112</v>
      </c>
      <c r="G39" s="74">
        <v>1</v>
      </c>
      <c r="H39" s="75" t="s">
        <v>105</v>
      </c>
      <c r="I39" s="75" t="s">
        <v>106</v>
      </c>
      <c r="J39" s="76" t="s">
        <v>107</v>
      </c>
    </row>
    <row r="40" spans="2:10">
      <c r="B40" s="77">
        <v>9</v>
      </c>
      <c r="C40" s="72" t="s">
        <v>113</v>
      </c>
      <c r="D40" s="72" t="s">
        <v>114</v>
      </c>
      <c r="E40" s="78" t="s">
        <v>41</v>
      </c>
    </row>
    <row r="41" spans="2:10">
      <c r="B41" s="77">
        <v>10</v>
      </c>
      <c r="C41" s="72" t="s">
        <v>229</v>
      </c>
      <c r="D41" s="72" t="s">
        <v>38</v>
      </c>
      <c r="E41" s="78" t="s">
        <v>115</v>
      </c>
      <c r="G41" s="641" t="s">
        <v>393</v>
      </c>
      <c r="H41" s="641"/>
      <c r="I41" s="641"/>
      <c r="J41" s="641"/>
    </row>
    <row r="42" spans="2:10" ht="15.75" thickBot="1">
      <c r="B42" s="77">
        <v>11</v>
      </c>
      <c r="C42" s="72" t="s">
        <v>118</v>
      </c>
      <c r="D42" s="72" t="s">
        <v>38</v>
      </c>
      <c r="E42" s="78" t="s">
        <v>48</v>
      </c>
    </row>
    <row r="43" spans="2:10">
      <c r="B43" s="77">
        <v>12</v>
      </c>
      <c r="C43" s="72" t="s">
        <v>636</v>
      </c>
      <c r="D43" s="87" t="s">
        <v>119</v>
      </c>
      <c r="E43" s="78" t="s">
        <v>96</v>
      </c>
      <c r="G43" s="643" t="s">
        <v>8</v>
      </c>
      <c r="H43" s="645" t="s">
        <v>30</v>
      </c>
      <c r="I43" s="637" t="s">
        <v>29</v>
      </c>
      <c r="J43" s="638"/>
    </row>
    <row r="44" spans="2:10" ht="15.75" thickBot="1">
      <c r="B44" s="74">
        <v>13</v>
      </c>
      <c r="C44" s="75" t="s">
        <v>637</v>
      </c>
      <c r="D44" s="75" t="s">
        <v>97</v>
      </c>
      <c r="E44" s="76" t="s">
        <v>120</v>
      </c>
      <c r="G44" s="644"/>
      <c r="H44" s="646"/>
      <c r="I44" s="232" t="s">
        <v>31</v>
      </c>
      <c r="J44" s="233" t="s">
        <v>32</v>
      </c>
    </row>
    <row r="45" spans="2:10" ht="15.75" thickBot="1">
      <c r="G45" s="74">
        <v>1</v>
      </c>
      <c r="H45" s="75" t="s">
        <v>116</v>
      </c>
      <c r="I45" s="75" t="s">
        <v>117</v>
      </c>
      <c r="J45" s="76" t="s">
        <v>80</v>
      </c>
    </row>
    <row r="46" spans="2:10">
      <c r="B46" s="639" t="s">
        <v>28</v>
      </c>
      <c r="C46" s="639"/>
      <c r="D46" s="639"/>
      <c r="E46" s="639"/>
    </row>
    <row r="47" spans="2:10" ht="15.75" thickBot="1">
      <c r="F47" s="68"/>
      <c r="G47" s="641" t="s">
        <v>392</v>
      </c>
      <c r="H47" s="641"/>
      <c r="I47" s="641"/>
      <c r="J47" s="641"/>
    </row>
    <row r="48" spans="2:10" ht="15.75" thickBot="1">
      <c r="B48" s="647" t="s">
        <v>8</v>
      </c>
      <c r="C48" s="649" t="s">
        <v>30</v>
      </c>
      <c r="D48" s="635" t="s">
        <v>29</v>
      </c>
      <c r="E48" s="636"/>
      <c r="F48" s="70"/>
    </row>
    <row r="49" spans="2:10">
      <c r="B49" s="648"/>
      <c r="C49" s="650"/>
      <c r="D49" s="232" t="s">
        <v>31</v>
      </c>
      <c r="E49" s="233" t="s">
        <v>32</v>
      </c>
      <c r="G49" s="643" t="s">
        <v>8</v>
      </c>
      <c r="H49" s="645" t="s">
        <v>30</v>
      </c>
      <c r="I49" s="637" t="s">
        <v>29</v>
      </c>
      <c r="J49" s="638"/>
    </row>
    <row r="50" spans="2:10">
      <c r="B50" s="77">
        <v>1</v>
      </c>
      <c r="C50" s="72" t="s">
        <v>36</v>
      </c>
      <c r="D50" s="72" t="s">
        <v>37</v>
      </c>
      <c r="E50" s="78" t="s">
        <v>38</v>
      </c>
      <c r="G50" s="644"/>
      <c r="H50" s="646"/>
      <c r="I50" s="232" t="s">
        <v>31</v>
      </c>
      <c r="J50" s="233" t="s">
        <v>32</v>
      </c>
    </row>
    <row r="51" spans="2:10">
      <c r="B51" s="77">
        <v>2</v>
      </c>
      <c r="C51" s="72" t="s">
        <v>42</v>
      </c>
      <c r="D51" s="438" t="s">
        <v>43</v>
      </c>
      <c r="E51" s="78" t="s">
        <v>38</v>
      </c>
      <c r="G51" s="77">
        <v>1</v>
      </c>
      <c r="H51" s="72" t="s">
        <v>638</v>
      </c>
      <c r="I51" s="72" t="s">
        <v>101</v>
      </c>
      <c r="J51" s="78" t="s">
        <v>122</v>
      </c>
    </row>
    <row r="52" spans="2:10" ht="15.75" thickBot="1">
      <c r="B52" s="77">
        <v>3</v>
      </c>
      <c r="C52" s="72" t="s">
        <v>47</v>
      </c>
      <c r="D52" s="72" t="s">
        <v>48</v>
      </c>
      <c r="E52" s="78" t="s">
        <v>49</v>
      </c>
      <c r="G52" s="74">
        <v>2</v>
      </c>
      <c r="H52" s="75" t="s">
        <v>123</v>
      </c>
      <c r="I52" s="75" t="s">
        <v>124</v>
      </c>
      <c r="J52" s="76" t="s">
        <v>125</v>
      </c>
    </row>
    <row r="53" spans="2:10">
      <c r="B53" s="77">
        <v>4</v>
      </c>
      <c r="C53" s="72" t="s">
        <v>53</v>
      </c>
      <c r="D53" s="72" t="s">
        <v>54</v>
      </c>
      <c r="E53" s="78" t="s">
        <v>55</v>
      </c>
      <c r="G53" s="453"/>
      <c r="H53" s="453"/>
      <c r="I53" s="453"/>
      <c r="J53" s="453"/>
    </row>
    <row r="54" spans="2:10">
      <c r="B54" s="77">
        <v>5</v>
      </c>
      <c r="C54" s="72" t="s">
        <v>58</v>
      </c>
      <c r="D54" s="72" t="s">
        <v>59</v>
      </c>
      <c r="E54" s="78" t="s">
        <v>54</v>
      </c>
      <c r="G54" s="356"/>
      <c r="H54" s="356"/>
      <c r="I54" s="356"/>
      <c r="J54" s="356"/>
    </row>
    <row r="55" spans="2:10">
      <c r="B55" s="77">
        <v>6</v>
      </c>
      <c r="C55" s="72" t="s">
        <v>61</v>
      </c>
      <c r="D55" s="72" t="s">
        <v>62</v>
      </c>
      <c r="E55" s="78" t="s">
        <v>63</v>
      </c>
      <c r="G55" s="454"/>
      <c r="H55" s="455"/>
      <c r="I55" s="453"/>
      <c r="J55" s="453"/>
    </row>
    <row r="56" spans="2:10" ht="15.75" thickBot="1">
      <c r="B56" s="74">
        <v>7</v>
      </c>
      <c r="C56" s="75" t="s">
        <v>64</v>
      </c>
      <c r="D56" s="75" t="s">
        <v>65</v>
      </c>
      <c r="E56" s="76" t="s">
        <v>48</v>
      </c>
      <c r="G56" s="454"/>
      <c r="H56" s="455"/>
      <c r="I56" s="450"/>
      <c r="J56" s="450"/>
    </row>
    <row r="57" spans="2:10">
      <c r="G57" s="451"/>
      <c r="H57" s="452"/>
      <c r="I57" s="452"/>
      <c r="J57" s="452"/>
    </row>
    <row r="58" spans="2:10">
      <c r="B58" s="15" t="s">
        <v>94</v>
      </c>
      <c r="G58" s="451"/>
      <c r="H58" s="452"/>
      <c r="I58" s="452"/>
      <c r="J58" s="452"/>
    </row>
    <row r="59" spans="2:10">
      <c r="B59" s="15" t="s">
        <v>630</v>
      </c>
    </row>
    <row r="60" spans="2:10">
      <c r="B60" s="15" t="s">
        <v>657</v>
      </c>
    </row>
    <row r="62" spans="2:10">
      <c r="B62" s="68" t="s">
        <v>442</v>
      </c>
      <c r="C62" s="61"/>
      <c r="D62" s="61"/>
      <c r="E62" s="61"/>
    </row>
    <row r="63" spans="2:10">
      <c r="B63" s="70" t="s">
        <v>136</v>
      </c>
    </row>
    <row r="64" spans="2:10">
      <c r="B64" s="63" t="s">
        <v>626</v>
      </c>
    </row>
    <row r="65" spans="2:7">
      <c r="B65" s="63" t="s">
        <v>627</v>
      </c>
    </row>
    <row r="67" spans="2:7">
      <c r="B67" s="16" t="s">
        <v>137</v>
      </c>
    </row>
    <row r="68" spans="2:7">
      <c r="B68" s="15" t="s">
        <v>138</v>
      </c>
      <c r="G68" s="62"/>
    </row>
    <row r="69" spans="2:7">
      <c r="B69" s="15" t="s">
        <v>628</v>
      </c>
      <c r="G69" s="62"/>
    </row>
    <row r="70" spans="2:7">
      <c r="G70" s="62"/>
    </row>
    <row r="71" spans="2:7">
      <c r="B71" s="71" t="s">
        <v>629</v>
      </c>
      <c r="C71" s="71"/>
      <c r="D71" s="71"/>
      <c r="E71" s="71"/>
      <c r="G71" s="47"/>
    </row>
    <row r="72" spans="2:7">
      <c r="B72" s="611" t="s">
        <v>752</v>
      </c>
      <c r="C72" s="69"/>
      <c r="D72" s="69"/>
      <c r="E72" s="69"/>
      <c r="G72" s="62"/>
    </row>
    <row r="73" spans="2:7">
      <c r="B73" s="634" t="s">
        <v>753</v>
      </c>
      <c r="C73" s="634"/>
      <c r="D73" s="634"/>
      <c r="E73" s="634"/>
      <c r="G73" s="62"/>
    </row>
    <row r="74" spans="2:7">
      <c r="B74" s="634" t="s">
        <v>754</v>
      </c>
      <c r="C74" s="634"/>
      <c r="D74" s="634"/>
      <c r="E74" s="634"/>
    </row>
  </sheetData>
  <mergeCells count="48">
    <mergeCell ref="G12:J12"/>
    <mergeCell ref="G29:J29"/>
    <mergeCell ref="G31:G32"/>
    <mergeCell ref="H31:H32"/>
    <mergeCell ref="I31:J31"/>
    <mergeCell ref="G14:G15"/>
    <mergeCell ref="H14:H15"/>
    <mergeCell ref="I14:J14"/>
    <mergeCell ref="G21:J21"/>
    <mergeCell ref="G23:G24"/>
    <mergeCell ref="H23:H24"/>
    <mergeCell ref="I23:J23"/>
    <mergeCell ref="G35:J35"/>
    <mergeCell ref="G37:G38"/>
    <mergeCell ref="H37:H38"/>
    <mergeCell ref="I37:J37"/>
    <mergeCell ref="G41:J41"/>
    <mergeCell ref="B48:B49"/>
    <mergeCell ref="C48:C49"/>
    <mergeCell ref="B46:E46"/>
    <mergeCell ref="G43:G44"/>
    <mergeCell ref="H43:H44"/>
    <mergeCell ref="G47:J47"/>
    <mergeCell ref="G49:G50"/>
    <mergeCell ref="H49:H50"/>
    <mergeCell ref="I43:J43"/>
    <mergeCell ref="I49:J49"/>
    <mergeCell ref="C6:C7"/>
    <mergeCell ref="C18:C19"/>
    <mergeCell ref="B18:B19"/>
    <mergeCell ref="B30:B31"/>
    <mergeCell ref="C30:C31"/>
    <mergeCell ref="B2:J2"/>
    <mergeCell ref="B74:E74"/>
    <mergeCell ref="D6:E6"/>
    <mergeCell ref="I6:J6"/>
    <mergeCell ref="D18:E18"/>
    <mergeCell ref="D30:E30"/>
    <mergeCell ref="D48:E48"/>
    <mergeCell ref="B4:E4"/>
    <mergeCell ref="B16:E16"/>
    <mergeCell ref="B28:E28"/>
    <mergeCell ref="G4:J4"/>
    <mergeCell ref="G34:J34"/>
    <mergeCell ref="B73:E73"/>
    <mergeCell ref="G6:G7"/>
    <mergeCell ref="H6:H7"/>
    <mergeCell ref="B6:B7"/>
  </mergeCells>
  <pageMargins left="0.7" right="0.7" top="0.78740157499999996" bottom="0.78740157499999996" header="0.3" footer="0.3"/>
  <pageSetup paperSize="9" orientation="portrait" verticalDpi="0" r:id="rId1"/>
  <ignoredErrors>
    <ignoredError sqref="D21 E23 D32:D44 E32:E44 E8" twoDigitTextYea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5"/>
  <sheetViews>
    <sheetView topLeftCell="A37" zoomScaleNormal="100" workbookViewId="0">
      <selection activeCell="B50" sqref="B50:G50"/>
    </sheetView>
  </sheetViews>
  <sheetFormatPr baseColWidth="10" defaultRowHeight="15"/>
  <cols>
    <col min="2" max="2" width="21.7109375" customWidth="1"/>
    <col min="4" max="4" width="13.28515625" bestFit="1" customWidth="1"/>
    <col min="5" max="5" width="17.7109375" customWidth="1"/>
    <col min="6" max="6" width="28.7109375" customWidth="1"/>
    <col min="7" max="7" width="23.140625" customWidth="1"/>
  </cols>
  <sheetData>
    <row r="2" spans="2:7">
      <c r="B2" s="628" t="s">
        <v>177</v>
      </c>
      <c r="C2" s="628"/>
      <c r="D2" s="628"/>
      <c r="E2" s="628"/>
      <c r="F2" s="628"/>
      <c r="G2" s="628"/>
    </row>
    <row r="3" spans="2:7">
      <c r="B3" s="56"/>
      <c r="C3" s="56"/>
      <c r="D3" s="56"/>
      <c r="E3" s="56"/>
      <c r="F3" s="56"/>
      <c r="G3" s="56"/>
    </row>
    <row r="4" spans="2:7">
      <c r="B4" s="639" t="s">
        <v>452</v>
      </c>
      <c r="C4" s="639"/>
      <c r="D4" s="639"/>
      <c r="E4" s="639"/>
      <c r="F4" s="639"/>
      <c r="G4" s="639"/>
    </row>
    <row r="5" spans="2:7" ht="15.75" thickBot="1">
      <c r="B5" s="56"/>
      <c r="C5" s="56"/>
      <c r="D5" s="56"/>
      <c r="E5" s="56"/>
      <c r="F5" s="56"/>
      <c r="G5" s="56"/>
    </row>
    <row r="6" spans="2:7">
      <c r="B6" s="219" t="s">
        <v>446</v>
      </c>
      <c r="C6" s="457" t="s">
        <v>148</v>
      </c>
      <c r="D6" s="457" t="s">
        <v>755</v>
      </c>
      <c r="E6" s="457" t="s">
        <v>756</v>
      </c>
      <c r="F6" s="457" t="s">
        <v>757</v>
      </c>
      <c r="G6" s="458" t="s">
        <v>758</v>
      </c>
    </row>
    <row r="7" spans="2:7">
      <c r="B7" s="653" t="s">
        <v>445</v>
      </c>
      <c r="C7" s="654"/>
      <c r="D7" s="654"/>
      <c r="E7" s="654"/>
      <c r="F7" s="654"/>
      <c r="G7" s="655"/>
    </row>
    <row r="8" spans="2:7">
      <c r="B8" s="88" t="s">
        <v>69</v>
      </c>
      <c r="C8" s="3">
        <v>30</v>
      </c>
      <c r="D8" s="3">
        <v>10</v>
      </c>
      <c r="E8" s="3">
        <f>+D8*0.1</f>
        <v>1</v>
      </c>
      <c r="F8" s="3">
        <f>+E8*C8/100</f>
        <v>0.3</v>
      </c>
      <c r="G8" s="89">
        <f>+F8*1000</f>
        <v>300</v>
      </c>
    </row>
    <row r="9" spans="2:7">
      <c r="B9" s="88" t="s">
        <v>149</v>
      </c>
      <c r="C9" s="3">
        <v>20</v>
      </c>
      <c r="D9" s="3">
        <v>15</v>
      </c>
      <c r="E9" s="3">
        <f t="shared" ref="E9:E10" si="0">+D9*0.1</f>
        <v>1.5</v>
      </c>
      <c r="F9" s="3">
        <f t="shared" ref="F9:F10" si="1">+E9*C9/100</f>
        <v>0.3</v>
      </c>
      <c r="G9" s="89">
        <f t="shared" ref="G9:G10" si="2">+F9*1000</f>
        <v>300</v>
      </c>
    </row>
    <row r="10" spans="2:7">
      <c r="B10" s="465" t="s">
        <v>150</v>
      </c>
      <c r="C10" s="3">
        <v>50</v>
      </c>
      <c r="D10" s="3">
        <v>10</v>
      </c>
      <c r="E10" s="3">
        <f t="shared" si="0"/>
        <v>1</v>
      </c>
      <c r="F10" s="3">
        <f t="shared" si="1"/>
        <v>0.5</v>
      </c>
      <c r="G10" s="89">
        <f t="shared" si="2"/>
        <v>500</v>
      </c>
    </row>
    <row r="11" spans="2:7">
      <c r="B11" s="90" t="s">
        <v>151</v>
      </c>
      <c r="C11" s="2">
        <f>SUM(C8:C10)</f>
        <v>100</v>
      </c>
      <c r="D11" s="2"/>
      <c r="E11" s="2"/>
      <c r="F11" s="2">
        <f>SUM(F8:F10)</f>
        <v>1.1000000000000001</v>
      </c>
      <c r="G11" s="554">
        <f>SUM(G8:G10)</f>
        <v>1100</v>
      </c>
    </row>
    <row r="12" spans="2:7">
      <c r="B12" s="658" t="s">
        <v>152</v>
      </c>
      <c r="C12" s="659"/>
      <c r="D12" s="659"/>
      <c r="E12" s="659"/>
      <c r="F12" s="659"/>
      <c r="G12" s="660"/>
    </row>
    <row r="13" spans="2:7">
      <c r="B13" s="465" t="s">
        <v>153</v>
      </c>
      <c r="C13" s="3">
        <v>50</v>
      </c>
      <c r="D13" s="3">
        <v>40</v>
      </c>
      <c r="E13" s="3">
        <f>+D13*0.1</f>
        <v>4</v>
      </c>
      <c r="F13" s="3">
        <f>+E13*C13/100</f>
        <v>2</v>
      </c>
      <c r="G13" s="555">
        <f>+F13*1000</f>
        <v>2000</v>
      </c>
    </row>
    <row r="14" spans="2:7">
      <c r="B14" s="88" t="s">
        <v>154</v>
      </c>
      <c r="C14" s="3">
        <v>25</v>
      </c>
      <c r="D14" s="3">
        <v>20</v>
      </c>
      <c r="E14" s="3">
        <f t="shared" ref="E14:E15" si="3">+D14*0.1</f>
        <v>2</v>
      </c>
      <c r="F14" s="3">
        <f t="shared" ref="F14:F15" si="4">+E14*C14/100</f>
        <v>0.5</v>
      </c>
      <c r="G14" s="89">
        <f t="shared" ref="G14:G15" si="5">+F14*1000</f>
        <v>500</v>
      </c>
    </row>
    <row r="15" spans="2:7">
      <c r="B15" s="88" t="s">
        <v>155</v>
      </c>
      <c r="C15" s="3">
        <v>25</v>
      </c>
      <c r="D15" s="3">
        <v>30</v>
      </c>
      <c r="E15" s="3">
        <f t="shared" si="3"/>
        <v>3</v>
      </c>
      <c r="F15" s="3">
        <f t="shared" si="4"/>
        <v>0.75</v>
      </c>
      <c r="G15" s="89">
        <f t="shared" si="5"/>
        <v>750</v>
      </c>
    </row>
    <row r="16" spans="2:7">
      <c r="B16" s="90" t="s">
        <v>151</v>
      </c>
      <c r="C16" s="2">
        <f>SUM(C13:C15)</f>
        <v>100</v>
      </c>
      <c r="D16" s="2"/>
      <c r="E16" s="2"/>
      <c r="F16" s="2">
        <f>SUM(F13:F15)</f>
        <v>3.25</v>
      </c>
      <c r="G16" s="554">
        <f>SUM(G13:G15)</f>
        <v>3250</v>
      </c>
    </row>
    <row r="17" spans="2:7">
      <c r="B17" s="234"/>
      <c r="C17" s="459" t="s">
        <v>447</v>
      </c>
      <c r="D17" s="459" t="s">
        <v>780</v>
      </c>
      <c r="E17" s="459" t="s">
        <v>781</v>
      </c>
      <c r="F17" s="459" t="s">
        <v>782</v>
      </c>
      <c r="G17" s="460" t="s">
        <v>783</v>
      </c>
    </row>
    <row r="18" spans="2:7">
      <c r="B18" s="653" t="s">
        <v>156</v>
      </c>
      <c r="C18" s="654"/>
      <c r="D18" s="654"/>
      <c r="E18" s="654"/>
      <c r="F18" s="654"/>
      <c r="G18" s="655"/>
    </row>
    <row r="19" spans="2:7">
      <c r="B19" s="461" t="s">
        <v>157</v>
      </c>
      <c r="C19" s="3">
        <v>10</v>
      </c>
      <c r="D19" s="556">
        <v>2500</v>
      </c>
      <c r="E19" s="3">
        <f>+D19*0.1</f>
        <v>250</v>
      </c>
      <c r="F19" s="3">
        <f>+E19*C19/100</f>
        <v>25</v>
      </c>
      <c r="G19" s="555">
        <f>+F19*1000</f>
        <v>25000</v>
      </c>
    </row>
    <row r="20" spans="2:7">
      <c r="B20" s="461" t="s">
        <v>158</v>
      </c>
      <c r="C20" s="3">
        <v>20</v>
      </c>
      <c r="D20" s="556">
        <v>2500</v>
      </c>
      <c r="E20" s="3">
        <f t="shared" ref="E20:E21" si="6">+D20*0.1</f>
        <v>250</v>
      </c>
      <c r="F20" s="3">
        <f t="shared" ref="F20:F21" si="7">+E20*C20/100</f>
        <v>50</v>
      </c>
      <c r="G20" s="555">
        <f t="shared" ref="G20:G21" si="8">+F20*1000</f>
        <v>50000</v>
      </c>
    </row>
    <row r="21" spans="2:7">
      <c r="B21" s="88" t="s">
        <v>159</v>
      </c>
      <c r="C21" s="3">
        <v>30</v>
      </c>
      <c r="D21" s="556">
        <v>2500</v>
      </c>
      <c r="E21" s="3">
        <f t="shared" si="6"/>
        <v>250</v>
      </c>
      <c r="F21" s="3">
        <f t="shared" si="7"/>
        <v>75</v>
      </c>
      <c r="G21" s="555">
        <f t="shared" si="8"/>
        <v>75000</v>
      </c>
    </row>
    <row r="22" spans="2:7">
      <c r="B22" s="461" t="s">
        <v>160</v>
      </c>
      <c r="C22" s="3">
        <v>5</v>
      </c>
      <c r="D22" s="556">
        <v>2500</v>
      </c>
      <c r="E22" s="3">
        <f>+D22*0.1</f>
        <v>250</v>
      </c>
      <c r="F22" s="3">
        <f>+E22*C22/100</f>
        <v>12.5</v>
      </c>
      <c r="G22" s="555">
        <f>+F22*1000</f>
        <v>12500</v>
      </c>
    </row>
    <row r="23" spans="2:7">
      <c r="B23" s="461" t="s">
        <v>161</v>
      </c>
      <c r="C23" s="3">
        <v>5</v>
      </c>
      <c r="D23" s="556">
        <v>2500</v>
      </c>
      <c r="E23" s="3">
        <f t="shared" ref="E23:E26" si="9">+D23*0.1</f>
        <v>250</v>
      </c>
      <c r="F23" s="3">
        <f t="shared" ref="F23:F26" si="10">+E23*C23/100</f>
        <v>12.5</v>
      </c>
      <c r="G23" s="555">
        <f t="shared" ref="G23:G27" si="11">+F23*1000</f>
        <v>12500</v>
      </c>
    </row>
    <row r="24" spans="2:7">
      <c r="B24" s="461" t="s">
        <v>75</v>
      </c>
      <c r="C24" s="3">
        <v>10</v>
      </c>
      <c r="D24" s="556">
        <v>2500</v>
      </c>
      <c r="E24" s="3">
        <f t="shared" si="9"/>
        <v>250</v>
      </c>
      <c r="F24" s="3">
        <f t="shared" si="10"/>
        <v>25</v>
      </c>
      <c r="G24" s="555">
        <f t="shared" si="11"/>
        <v>25000</v>
      </c>
    </row>
    <row r="25" spans="2:7">
      <c r="B25" s="88" t="s">
        <v>162</v>
      </c>
      <c r="C25" s="3">
        <v>10</v>
      </c>
      <c r="D25" s="556">
        <v>2500</v>
      </c>
      <c r="E25" s="3">
        <f>+D25*0.1</f>
        <v>250</v>
      </c>
      <c r="F25" s="3">
        <f t="shared" si="10"/>
        <v>25</v>
      </c>
      <c r="G25" s="555">
        <f t="shared" si="11"/>
        <v>25000</v>
      </c>
    </row>
    <row r="26" spans="2:7">
      <c r="B26" s="461" t="s">
        <v>163</v>
      </c>
      <c r="C26" s="3">
        <v>10</v>
      </c>
      <c r="D26" s="556">
        <v>2500</v>
      </c>
      <c r="E26" s="3">
        <f t="shared" si="9"/>
        <v>250</v>
      </c>
      <c r="F26" s="3">
        <f t="shared" si="10"/>
        <v>25</v>
      </c>
      <c r="G26" s="555">
        <f t="shared" si="11"/>
        <v>25000</v>
      </c>
    </row>
    <row r="27" spans="2:7">
      <c r="B27" s="90" t="s">
        <v>151</v>
      </c>
      <c r="C27" s="2">
        <f>SUM(C19:C26)</f>
        <v>100</v>
      </c>
      <c r="D27" s="2"/>
      <c r="E27" s="2"/>
      <c r="F27" s="2">
        <f>SUM(F19:F26)</f>
        <v>250</v>
      </c>
      <c r="G27" s="554">
        <f t="shared" si="11"/>
        <v>250000</v>
      </c>
    </row>
    <row r="28" spans="2:7">
      <c r="B28" s="653" t="s">
        <v>164</v>
      </c>
      <c r="C28" s="654"/>
      <c r="D28" s="654"/>
      <c r="E28" s="654"/>
      <c r="F28" s="654"/>
      <c r="G28" s="655"/>
    </row>
    <row r="29" spans="2:7">
      <c r="B29" s="88" t="s">
        <v>165</v>
      </c>
      <c r="C29" s="3">
        <v>20</v>
      </c>
      <c r="D29" s="556">
        <v>2700</v>
      </c>
      <c r="E29" s="4">
        <f>+D29*0.1</f>
        <v>270</v>
      </c>
      <c r="F29" s="4">
        <f>+E29*C29/100</f>
        <v>54</v>
      </c>
      <c r="G29" s="555">
        <f>+F29*1000</f>
        <v>54000</v>
      </c>
    </row>
    <row r="30" spans="2:7">
      <c r="B30" s="88" t="s">
        <v>166</v>
      </c>
      <c r="C30" s="3">
        <v>10</v>
      </c>
      <c r="D30" s="556">
        <v>2700</v>
      </c>
      <c r="E30" s="4">
        <f t="shared" ref="E30:E31" si="12">+D30*0.1</f>
        <v>270</v>
      </c>
      <c r="F30" s="4">
        <f t="shared" ref="F30:F31" si="13">+E30*C30/100</f>
        <v>27</v>
      </c>
      <c r="G30" s="555">
        <f t="shared" ref="G30:G31" si="14">+F30*1000</f>
        <v>27000</v>
      </c>
    </row>
    <row r="31" spans="2:7">
      <c r="B31" s="88" t="s">
        <v>167</v>
      </c>
      <c r="C31" s="3">
        <v>10</v>
      </c>
      <c r="D31" s="556">
        <v>2700</v>
      </c>
      <c r="E31" s="4">
        <f t="shared" si="12"/>
        <v>270</v>
      </c>
      <c r="F31" s="4">
        <f t="shared" si="13"/>
        <v>27</v>
      </c>
      <c r="G31" s="555">
        <f t="shared" si="14"/>
        <v>27000</v>
      </c>
    </row>
    <row r="32" spans="2:7">
      <c r="B32" s="88" t="s">
        <v>42</v>
      </c>
      <c r="C32" s="3">
        <v>20</v>
      </c>
      <c r="D32" s="556">
        <v>2700</v>
      </c>
      <c r="E32" s="4">
        <f>+D32*0.1</f>
        <v>270</v>
      </c>
      <c r="F32" s="4">
        <f>+E32*C32/100</f>
        <v>54</v>
      </c>
      <c r="G32" s="555">
        <f>+F32*1000</f>
        <v>54000</v>
      </c>
    </row>
    <row r="33" spans="2:7">
      <c r="B33" s="463" t="s">
        <v>168</v>
      </c>
      <c r="C33" s="3">
        <v>10</v>
      </c>
      <c r="D33" s="556">
        <v>2700</v>
      </c>
      <c r="E33" s="4">
        <f t="shared" ref="E33:E36" si="15">+D33*0.1</f>
        <v>270</v>
      </c>
      <c r="F33" s="4">
        <f t="shared" ref="F33:F36" si="16">+E33*C33/100</f>
        <v>27</v>
      </c>
      <c r="G33" s="555">
        <f t="shared" ref="G33:G36" si="17">+F33*1000</f>
        <v>27000</v>
      </c>
    </row>
    <row r="34" spans="2:7">
      <c r="B34" s="463" t="s">
        <v>168</v>
      </c>
      <c r="C34" s="3">
        <v>10</v>
      </c>
      <c r="D34" s="556">
        <v>2700</v>
      </c>
      <c r="E34" s="4">
        <f t="shared" si="15"/>
        <v>270</v>
      </c>
      <c r="F34" s="4">
        <f t="shared" si="16"/>
        <v>27</v>
      </c>
      <c r="G34" s="555">
        <f t="shared" si="17"/>
        <v>27000</v>
      </c>
    </row>
    <row r="35" spans="2:7">
      <c r="B35" s="463" t="s">
        <v>168</v>
      </c>
      <c r="C35" s="3">
        <v>10</v>
      </c>
      <c r="D35" s="556">
        <v>2700</v>
      </c>
      <c r="E35" s="4">
        <f t="shared" si="15"/>
        <v>270</v>
      </c>
      <c r="F35" s="4">
        <f t="shared" si="16"/>
        <v>27</v>
      </c>
      <c r="G35" s="555">
        <f t="shared" si="17"/>
        <v>27000</v>
      </c>
    </row>
    <row r="36" spans="2:7">
      <c r="B36" s="463" t="s">
        <v>168</v>
      </c>
      <c r="C36" s="3">
        <v>10</v>
      </c>
      <c r="D36" s="556">
        <v>2700</v>
      </c>
      <c r="E36" s="4">
        <f t="shared" si="15"/>
        <v>270</v>
      </c>
      <c r="F36" s="4">
        <f t="shared" si="16"/>
        <v>27</v>
      </c>
      <c r="G36" s="555">
        <f t="shared" si="17"/>
        <v>27000</v>
      </c>
    </row>
    <row r="37" spans="2:7">
      <c r="B37" s="90" t="s">
        <v>151</v>
      </c>
      <c r="C37" s="2">
        <f>SUM(C29:C36)</f>
        <v>100</v>
      </c>
      <c r="D37" s="5"/>
      <c r="E37" s="5"/>
      <c r="F37" s="5">
        <f>SUM(F29:F36)</f>
        <v>270</v>
      </c>
      <c r="G37" s="554">
        <f>SUM(G29:G36)</f>
        <v>270000</v>
      </c>
    </row>
    <row r="38" spans="2:7">
      <c r="B38" s="653" t="s">
        <v>169</v>
      </c>
      <c r="C38" s="654"/>
      <c r="D38" s="654"/>
      <c r="E38" s="654"/>
      <c r="F38" s="654"/>
      <c r="G38" s="655"/>
    </row>
    <row r="39" spans="2:7">
      <c r="B39" s="464" t="s">
        <v>170</v>
      </c>
      <c r="C39" s="3">
        <v>5</v>
      </c>
      <c r="D39" s="556">
        <v>2500</v>
      </c>
      <c r="E39" s="4">
        <f>+D39*0.1</f>
        <v>250</v>
      </c>
      <c r="F39" s="4">
        <f>+E39*C39/100</f>
        <v>12.5</v>
      </c>
      <c r="G39" s="555">
        <f>+F39*1000</f>
        <v>12500</v>
      </c>
    </row>
    <row r="40" spans="2:7">
      <c r="B40" s="464" t="s">
        <v>171</v>
      </c>
      <c r="C40" s="3">
        <v>5</v>
      </c>
      <c r="D40" s="556">
        <v>2500</v>
      </c>
      <c r="E40" s="4">
        <f t="shared" ref="E40:E46" si="18">+D40*0.1</f>
        <v>250</v>
      </c>
      <c r="F40" s="4">
        <f t="shared" ref="F40:F46" si="19">+E40*C40/100</f>
        <v>12.5</v>
      </c>
      <c r="G40" s="555">
        <f t="shared" ref="G40:G48" si="20">+F40*1000</f>
        <v>12500</v>
      </c>
    </row>
    <row r="41" spans="2:7">
      <c r="B41" s="464" t="s">
        <v>172</v>
      </c>
      <c r="C41" s="3">
        <v>50</v>
      </c>
      <c r="D41" s="556">
        <v>2500</v>
      </c>
      <c r="E41" s="4">
        <f t="shared" si="18"/>
        <v>250</v>
      </c>
      <c r="F41" s="4">
        <f t="shared" si="19"/>
        <v>125</v>
      </c>
      <c r="G41" s="555">
        <f t="shared" si="20"/>
        <v>125000</v>
      </c>
    </row>
    <row r="42" spans="2:7">
      <c r="B42" s="464" t="s">
        <v>173</v>
      </c>
      <c r="C42" s="3">
        <v>15</v>
      </c>
      <c r="D42" s="556">
        <v>2500</v>
      </c>
      <c r="E42" s="4">
        <f t="shared" si="18"/>
        <v>250</v>
      </c>
      <c r="F42" s="4">
        <f t="shared" si="19"/>
        <v>37.5</v>
      </c>
      <c r="G42" s="555">
        <f t="shared" si="20"/>
        <v>37500</v>
      </c>
    </row>
    <row r="43" spans="2:7">
      <c r="B43" s="464" t="s">
        <v>174</v>
      </c>
      <c r="C43" s="3">
        <v>5</v>
      </c>
      <c r="D43" s="556">
        <v>2500</v>
      </c>
      <c r="E43" s="4">
        <f t="shared" si="18"/>
        <v>250</v>
      </c>
      <c r="F43" s="4">
        <f t="shared" si="19"/>
        <v>12.5</v>
      </c>
      <c r="G43" s="555">
        <f t="shared" si="20"/>
        <v>12500</v>
      </c>
    </row>
    <row r="44" spans="2:7">
      <c r="B44" s="464" t="s">
        <v>175</v>
      </c>
      <c r="C44" s="3">
        <v>10</v>
      </c>
      <c r="D44" s="556">
        <v>2500</v>
      </c>
      <c r="E44" s="4">
        <f t="shared" si="18"/>
        <v>250</v>
      </c>
      <c r="F44" s="4">
        <f t="shared" si="19"/>
        <v>25</v>
      </c>
      <c r="G44" s="555">
        <f t="shared" si="20"/>
        <v>25000</v>
      </c>
    </row>
    <row r="45" spans="2:7">
      <c r="B45" s="461" t="s">
        <v>176</v>
      </c>
      <c r="C45" s="3">
        <v>5</v>
      </c>
      <c r="D45" s="556">
        <v>2500</v>
      </c>
      <c r="E45" s="4">
        <f t="shared" si="18"/>
        <v>250</v>
      </c>
      <c r="F45" s="4">
        <f t="shared" si="19"/>
        <v>12.5</v>
      </c>
      <c r="G45" s="555">
        <f t="shared" si="20"/>
        <v>12500</v>
      </c>
    </row>
    <row r="46" spans="2:7">
      <c r="B46" s="88" t="s">
        <v>168</v>
      </c>
      <c r="C46" s="3">
        <v>5</v>
      </c>
      <c r="D46" s="556">
        <v>2500</v>
      </c>
      <c r="E46" s="4">
        <f t="shared" si="18"/>
        <v>250</v>
      </c>
      <c r="F46" s="4">
        <f t="shared" si="19"/>
        <v>12.5</v>
      </c>
      <c r="G46" s="555">
        <f t="shared" si="20"/>
        <v>12500</v>
      </c>
    </row>
    <row r="47" spans="2:7">
      <c r="B47" s="90" t="s">
        <v>151</v>
      </c>
      <c r="C47" s="2">
        <f>SUM(C39:C46)</f>
        <v>100</v>
      </c>
      <c r="D47" s="2"/>
      <c r="E47" s="2"/>
      <c r="F47" s="5">
        <f>SUM(F39:F46)</f>
        <v>250</v>
      </c>
      <c r="G47" s="554">
        <f t="shared" si="20"/>
        <v>250000</v>
      </c>
    </row>
    <row r="48" spans="2:7" ht="15.75" thickBot="1">
      <c r="B48" s="91" t="s">
        <v>444</v>
      </c>
      <c r="C48" s="92"/>
      <c r="D48" s="92"/>
      <c r="E48" s="92"/>
      <c r="F48" s="93">
        <f>+F47+F37+F27</f>
        <v>770</v>
      </c>
      <c r="G48" s="557">
        <f t="shared" si="20"/>
        <v>770000</v>
      </c>
    </row>
    <row r="50" spans="2:7" ht="25.9" customHeight="1">
      <c r="B50" s="656" t="s">
        <v>784</v>
      </c>
      <c r="C50" s="656"/>
      <c r="D50" s="656"/>
      <c r="E50" s="656"/>
      <c r="F50" s="656"/>
      <c r="G50" s="656"/>
    </row>
    <row r="51" spans="2:7">
      <c r="B51" s="657" t="s">
        <v>443</v>
      </c>
      <c r="C51" s="657"/>
      <c r="D51" s="657"/>
      <c r="E51" s="657"/>
      <c r="F51" s="657"/>
      <c r="G51" s="657"/>
    </row>
    <row r="52" spans="2:7" ht="15" customHeight="1">
      <c r="B52" s="656" t="s">
        <v>759</v>
      </c>
      <c r="C52" s="656"/>
      <c r="D52" s="656"/>
      <c r="E52" s="656"/>
      <c r="F52" s="656"/>
      <c r="G52" s="656"/>
    </row>
    <row r="53" spans="2:7">
      <c r="B53" s="656"/>
      <c r="C53" s="656"/>
      <c r="D53" s="656"/>
      <c r="E53" s="656"/>
      <c r="F53" s="656"/>
      <c r="G53" s="656"/>
    </row>
    <row r="54" spans="2:7">
      <c r="B54" s="656"/>
      <c r="C54" s="656"/>
      <c r="D54" s="656"/>
      <c r="E54" s="656"/>
      <c r="F54" s="656"/>
      <c r="G54" s="656"/>
    </row>
    <row r="55" spans="2:7">
      <c r="B55" s="314"/>
      <c r="C55" s="314"/>
      <c r="D55" s="314"/>
      <c r="E55" s="314"/>
    </row>
  </sheetData>
  <mergeCells count="10">
    <mergeCell ref="B2:G2"/>
    <mergeCell ref="B7:G7"/>
    <mergeCell ref="B12:G12"/>
    <mergeCell ref="B18:G18"/>
    <mergeCell ref="B28:G28"/>
    <mergeCell ref="B38:G38"/>
    <mergeCell ref="B4:G4"/>
    <mergeCell ref="B50:G50"/>
    <mergeCell ref="B51:G51"/>
    <mergeCell ref="B52:G5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1"/>
  <sheetViews>
    <sheetView workbookViewId="0">
      <selection activeCell="J6" sqref="J6:J8"/>
    </sheetView>
  </sheetViews>
  <sheetFormatPr baseColWidth="10" defaultRowHeight="15"/>
  <sheetData>
    <row r="2" spans="1:10">
      <c r="B2" s="661" t="s">
        <v>468</v>
      </c>
      <c r="C2" s="661"/>
      <c r="D2" s="661"/>
      <c r="E2" s="661"/>
      <c r="F2" s="661"/>
      <c r="G2" s="661"/>
      <c r="H2" s="661"/>
      <c r="I2" s="661"/>
      <c r="J2" s="661"/>
    </row>
    <row r="4" spans="1:10">
      <c r="A4" s="55"/>
      <c r="B4" s="662" t="s">
        <v>639</v>
      </c>
      <c r="C4" s="662"/>
      <c r="D4" s="662"/>
      <c r="E4" s="662"/>
      <c r="F4" s="662"/>
      <c r="G4" s="662"/>
      <c r="H4" s="662"/>
      <c r="I4" s="662"/>
      <c r="J4" s="662"/>
    </row>
    <row r="5" spans="1:10" ht="16.899999999999999" customHeight="1" thickBot="1">
      <c r="A5" s="54"/>
      <c r="B5" s="54"/>
      <c r="C5" s="54"/>
      <c r="D5" s="54"/>
      <c r="E5" s="54"/>
      <c r="F5" s="54"/>
      <c r="G5" s="54"/>
      <c r="H5" s="54"/>
      <c r="I5" s="54"/>
    </row>
    <row r="6" spans="1:10">
      <c r="B6" s="668" t="s">
        <v>455</v>
      </c>
      <c r="C6" s="671" t="s">
        <v>255</v>
      </c>
      <c r="D6" s="671"/>
      <c r="E6" s="671"/>
      <c r="F6" s="671"/>
      <c r="G6" s="671"/>
      <c r="H6" s="671"/>
      <c r="I6" s="671"/>
      <c r="J6" s="665" t="s">
        <v>151</v>
      </c>
    </row>
    <row r="7" spans="1:10">
      <c r="B7" s="669"/>
      <c r="C7" s="672" t="s">
        <v>262</v>
      </c>
      <c r="D7" s="674" t="s">
        <v>256</v>
      </c>
      <c r="E7" s="674" t="s">
        <v>257</v>
      </c>
      <c r="F7" s="674" t="s">
        <v>258</v>
      </c>
      <c r="G7" s="674" t="s">
        <v>259</v>
      </c>
      <c r="H7" s="674" t="s">
        <v>260</v>
      </c>
      <c r="I7" s="674" t="s">
        <v>261</v>
      </c>
      <c r="J7" s="666"/>
    </row>
    <row r="8" spans="1:10">
      <c r="B8" s="670"/>
      <c r="C8" s="673"/>
      <c r="D8" s="674"/>
      <c r="E8" s="674"/>
      <c r="F8" s="674"/>
      <c r="G8" s="674"/>
      <c r="H8" s="674"/>
      <c r="I8" s="674"/>
      <c r="J8" s="667"/>
    </row>
    <row r="9" spans="1:10" ht="30">
      <c r="B9" s="415" t="s">
        <v>263</v>
      </c>
      <c r="C9" s="559">
        <v>40</v>
      </c>
      <c r="D9" s="559">
        <v>30</v>
      </c>
      <c r="E9" s="559">
        <v>20</v>
      </c>
      <c r="F9" s="559">
        <v>15</v>
      </c>
      <c r="G9" s="559">
        <v>15</v>
      </c>
      <c r="H9" s="559">
        <v>15</v>
      </c>
      <c r="I9" s="559">
        <v>15</v>
      </c>
      <c r="J9" s="560">
        <f>SUM(C9:I9)</f>
        <v>150</v>
      </c>
    </row>
    <row r="10" spans="1:10" ht="42" customHeight="1">
      <c r="B10" s="663" t="s">
        <v>454</v>
      </c>
      <c r="C10" s="675">
        <v>1000</v>
      </c>
      <c r="D10" s="675">
        <v>400</v>
      </c>
      <c r="E10" s="675">
        <v>0</v>
      </c>
      <c r="F10" s="675">
        <v>0</v>
      </c>
      <c r="G10" s="675">
        <v>0</v>
      </c>
      <c r="H10" s="675">
        <v>0</v>
      </c>
      <c r="I10" s="675">
        <v>0</v>
      </c>
      <c r="J10" s="676">
        <f>SUM(C10:I11)</f>
        <v>1400</v>
      </c>
    </row>
    <row r="11" spans="1:10" ht="1.9" customHeight="1">
      <c r="B11" s="664"/>
      <c r="C11" s="675"/>
      <c r="D11" s="675"/>
      <c r="E11" s="675"/>
      <c r="F11" s="675"/>
      <c r="G11" s="675"/>
      <c r="H11" s="675"/>
      <c r="I11" s="675"/>
      <c r="J11" s="676"/>
    </row>
    <row r="12" spans="1:10" ht="30">
      <c r="B12" s="415" t="s">
        <v>264</v>
      </c>
      <c r="C12" s="559">
        <v>2350</v>
      </c>
      <c r="D12" s="559">
        <v>1700</v>
      </c>
      <c r="E12" s="559">
        <v>1200</v>
      </c>
      <c r="F12" s="559">
        <v>900</v>
      </c>
      <c r="G12" s="559">
        <v>900</v>
      </c>
      <c r="H12" s="559">
        <v>900</v>
      </c>
      <c r="I12" s="559">
        <v>900</v>
      </c>
      <c r="J12" s="560">
        <f>SUM(C12:I12)</f>
        <v>8850</v>
      </c>
    </row>
    <row r="13" spans="1:10" ht="30">
      <c r="B13" s="441" t="s">
        <v>265</v>
      </c>
      <c r="C13" s="561">
        <f>C10+C12</f>
        <v>3350</v>
      </c>
      <c r="D13" s="561">
        <f>D10+D12</f>
        <v>2100</v>
      </c>
      <c r="E13" s="561">
        <f>E10+E12</f>
        <v>1200</v>
      </c>
      <c r="F13" s="561">
        <f>F10+F12</f>
        <v>900</v>
      </c>
      <c r="G13" s="561">
        <f t="shared" ref="G13:I13" si="0">G10+G12</f>
        <v>900</v>
      </c>
      <c r="H13" s="561">
        <f t="shared" si="0"/>
        <v>900</v>
      </c>
      <c r="I13" s="561">
        <f t="shared" si="0"/>
        <v>900</v>
      </c>
      <c r="J13" s="560">
        <f>SUM(C13:I13)</f>
        <v>10250</v>
      </c>
    </row>
    <row r="14" spans="1:10" ht="45">
      <c r="B14" s="418" t="s">
        <v>266</v>
      </c>
      <c r="C14" s="562" t="s">
        <v>267</v>
      </c>
      <c r="D14" s="562">
        <v>14</v>
      </c>
      <c r="E14" s="562">
        <v>60</v>
      </c>
      <c r="F14" s="562">
        <v>140</v>
      </c>
      <c r="G14" s="562">
        <v>300</v>
      </c>
      <c r="H14" s="562">
        <v>440</v>
      </c>
      <c r="I14" s="562">
        <v>600</v>
      </c>
      <c r="J14" s="560">
        <f>I14</f>
        <v>600</v>
      </c>
    </row>
    <row r="15" spans="1:10" ht="45">
      <c r="B15" s="441" t="s">
        <v>269</v>
      </c>
      <c r="C15" s="561" t="s">
        <v>267</v>
      </c>
      <c r="D15" s="561">
        <f>D14*200</f>
        <v>2800</v>
      </c>
      <c r="E15" s="561">
        <f t="shared" ref="E15:I15" si="1">E14*200</f>
        <v>12000</v>
      </c>
      <c r="F15" s="561">
        <f t="shared" si="1"/>
        <v>28000</v>
      </c>
      <c r="G15" s="561">
        <f t="shared" si="1"/>
        <v>60000</v>
      </c>
      <c r="H15" s="561">
        <f t="shared" si="1"/>
        <v>88000</v>
      </c>
      <c r="I15" s="561">
        <f t="shared" si="1"/>
        <v>120000</v>
      </c>
      <c r="J15" s="560">
        <f>I15</f>
        <v>120000</v>
      </c>
    </row>
    <row r="16" spans="1:10" ht="45.75" thickBot="1">
      <c r="B16" s="558" t="s">
        <v>268</v>
      </c>
      <c r="C16" s="563"/>
      <c r="D16" s="563"/>
      <c r="E16" s="563"/>
      <c r="F16" s="563"/>
      <c r="G16" s="563"/>
      <c r="H16" s="563"/>
      <c r="I16" s="563"/>
      <c r="J16" s="564">
        <f>J15-J13</f>
        <v>109750</v>
      </c>
    </row>
    <row r="18" spans="2:10">
      <c r="I18" s="466" t="s">
        <v>270</v>
      </c>
      <c r="J18" s="565">
        <f>J16/6</f>
        <v>18291.666666666668</v>
      </c>
    </row>
    <row r="19" spans="2:10" ht="15.75">
      <c r="B19" s="315"/>
    </row>
    <row r="20" spans="2:10">
      <c r="B20" t="s">
        <v>504</v>
      </c>
    </row>
    <row r="21" spans="2:10" ht="37.9" customHeight="1">
      <c r="B21" s="656" t="s">
        <v>505</v>
      </c>
      <c r="C21" s="656"/>
      <c r="D21" s="656"/>
      <c r="E21" s="656"/>
      <c r="F21" s="656"/>
      <c r="G21" s="656"/>
    </row>
  </sheetData>
  <mergeCells count="22">
    <mergeCell ref="B21:G21"/>
    <mergeCell ref="G10:G11"/>
    <mergeCell ref="D7:D8"/>
    <mergeCell ref="E7:E8"/>
    <mergeCell ref="F7:F8"/>
    <mergeCell ref="G7:G8"/>
    <mergeCell ref="B2:J2"/>
    <mergeCell ref="B4:J4"/>
    <mergeCell ref="B10:B11"/>
    <mergeCell ref="J6:J8"/>
    <mergeCell ref="B6:B8"/>
    <mergeCell ref="C6:I6"/>
    <mergeCell ref="C7:C8"/>
    <mergeCell ref="H7:H8"/>
    <mergeCell ref="I7:I8"/>
    <mergeCell ref="H10:H11"/>
    <mergeCell ref="I10:I11"/>
    <mergeCell ref="J10:J11"/>
    <mergeCell ref="C10:C11"/>
    <mergeCell ref="D10:D11"/>
    <mergeCell ref="E10:E11"/>
    <mergeCell ref="F10:F1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G62"/>
  <sheetViews>
    <sheetView zoomScale="80" zoomScaleNormal="80" workbookViewId="0">
      <selection activeCell="T33" sqref="T33"/>
    </sheetView>
  </sheetViews>
  <sheetFormatPr baseColWidth="10" defaultColWidth="10.7109375" defaultRowHeight="15"/>
  <cols>
    <col min="1" max="1" width="10.140625" style="15" customWidth="1"/>
    <col min="2" max="2" width="10.7109375" style="15" customWidth="1"/>
    <col min="3" max="3" width="11.7109375" style="15" customWidth="1"/>
    <col min="4" max="4" width="12.140625" style="15" bestFit="1" customWidth="1"/>
    <col min="5" max="5" width="9" style="15" customWidth="1"/>
    <col min="6" max="6" width="11.140625" style="15" customWidth="1"/>
    <col min="7" max="7" width="14" style="15" bestFit="1" customWidth="1"/>
    <col min="8" max="8" width="4.7109375" style="15" customWidth="1"/>
    <col min="9" max="9" width="4.140625" style="15" bestFit="1" customWidth="1"/>
    <col min="10" max="10" width="14.140625" style="15" bestFit="1" customWidth="1"/>
    <col min="11" max="13" width="4.140625" style="15" bestFit="1" customWidth="1"/>
    <col min="14" max="14" width="6" style="15" bestFit="1" customWidth="1"/>
    <col min="15" max="16" width="4.140625" style="15" bestFit="1" customWidth="1"/>
    <col min="17" max="17" width="10.7109375" style="15" bestFit="1" customWidth="1"/>
    <col min="18" max="19" width="4.140625" style="15" bestFit="1" customWidth="1"/>
    <col min="20" max="20" width="5.140625" style="15" bestFit="1" customWidth="1"/>
    <col min="21" max="21" width="7.42578125" style="15" bestFit="1" customWidth="1"/>
    <col min="22" max="22" width="26.42578125" style="15" bestFit="1" customWidth="1"/>
    <col min="23" max="23" width="4.140625" style="15" bestFit="1" customWidth="1"/>
    <col min="24" max="24" width="2.140625" style="15" bestFit="1" customWidth="1"/>
    <col min="25" max="25" width="4.140625" style="15" customWidth="1"/>
    <col min="26" max="26" width="2.7109375" style="15" bestFit="1" customWidth="1"/>
    <col min="27" max="27" width="4.140625" style="15" bestFit="1" customWidth="1"/>
    <col min="28" max="28" width="2.140625" style="15" bestFit="1" customWidth="1"/>
    <col min="29" max="29" width="4.140625" style="15" bestFit="1" customWidth="1"/>
    <col min="30" max="30" width="2.140625" style="15" bestFit="1" customWidth="1"/>
    <col min="31" max="31" width="4.140625" style="15" bestFit="1" customWidth="1"/>
    <col min="32" max="32" width="3" style="15" bestFit="1" customWidth="1"/>
    <col min="33" max="33" width="9.7109375" style="15" bestFit="1" customWidth="1"/>
    <col min="34" max="34" width="6.7109375" style="15" customWidth="1"/>
    <col min="35" max="16384" width="10.7109375" style="15"/>
  </cols>
  <sheetData>
    <row r="2" spans="2:33">
      <c r="B2" s="661" t="s">
        <v>493</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row>
    <row r="3" spans="2:33">
      <c r="B3" s="35"/>
      <c r="C3" s="35"/>
      <c r="D3" s="35"/>
      <c r="E3" s="35"/>
      <c r="F3" s="35"/>
      <c r="G3" s="35"/>
      <c r="H3" s="35"/>
    </row>
    <row r="4" spans="2:33" ht="30">
      <c r="B4" s="467" t="s">
        <v>642</v>
      </c>
      <c r="C4" s="751" t="s">
        <v>794</v>
      </c>
      <c r="D4" s="612" t="s">
        <v>785</v>
      </c>
      <c r="E4" s="612" t="s">
        <v>409</v>
      </c>
      <c r="F4" s="677" t="s">
        <v>410</v>
      </c>
      <c r="G4" s="678"/>
      <c r="H4" s="678"/>
      <c r="I4" s="679"/>
      <c r="J4" s="34" t="s">
        <v>411</v>
      </c>
      <c r="U4" s="47" t="s">
        <v>582</v>
      </c>
    </row>
    <row r="5" spans="2:33">
      <c r="B5" s="11">
        <f t="shared" ref="B5:B12" si="0">+$T$17*$E$33</f>
        <v>280</v>
      </c>
      <c r="C5" s="11">
        <f t="shared" ref="C5:C11" si="1">+E34</f>
        <v>4</v>
      </c>
      <c r="D5" s="132">
        <f>10000*C5/B5</f>
        <v>142.85714285714286</v>
      </c>
      <c r="E5" s="12">
        <f>+C5+C5*15/100</f>
        <v>4.5999999999999996</v>
      </c>
      <c r="F5" s="376" t="s">
        <v>603</v>
      </c>
      <c r="G5" s="377"/>
      <c r="H5" s="377"/>
      <c r="I5" s="378"/>
      <c r="J5" s="133" t="s">
        <v>412</v>
      </c>
      <c r="U5" s="15" t="s">
        <v>760</v>
      </c>
    </row>
    <row r="6" spans="2:33">
      <c r="B6" s="11">
        <f t="shared" si="0"/>
        <v>280</v>
      </c>
      <c r="C6" s="11">
        <f t="shared" si="1"/>
        <v>13</v>
      </c>
      <c r="D6" s="132">
        <f t="shared" ref="D6:D12" si="2">10000*C6/B6</f>
        <v>464.28571428571428</v>
      </c>
      <c r="E6" s="12">
        <f t="shared" ref="E6:E12" si="3">+C6+C6*15/100</f>
        <v>14.95</v>
      </c>
      <c r="F6" s="379" t="s">
        <v>604</v>
      </c>
      <c r="G6" s="380"/>
      <c r="H6" s="380"/>
      <c r="I6" s="381"/>
      <c r="J6" s="134" t="s">
        <v>413</v>
      </c>
      <c r="U6" s="46" t="s">
        <v>640</v>
      </c>
      <c r="V6" s="46" t="s">
        <v>414</v>
      </c>
      <c r="W6" s="265"/>
      <c r="X6" s="265"/>
      <c r="Y6" s="265"/>
      <c r="Z6" s="265"/>
      <c r="AA6" s="265"/>
      <c r="AB6" s="265"/>
    </row>
    <row r="7" spans="2:33">
      <c r="B7" s="11">
        <f t="shared" si="0"/>
        <v>280</v>
      </c>
      <c r="C7" s="11">
        <f t="shared" si="1"/>
        <v>58</v>
      </c>
      <c r="D7" s="567">
        <f t="shared" si="2"/>
        <v>2071.4285714285716</v>
      </c>
      <c r="E7" s="12">
        <f t="shared" si="3"/>
        <v>66.7</v>
      </c>
      <c r="F7" s="375" t="s">
        <v>292</v>
      </c>
      <c r="G7" s="198"/>
      <c r="H7" s="198"/>
      <c r="I7" s="198"/>
      <c r="J7" s="135" t="s">
        <v>226</v>
      </c>
      <c r="U7" s="334" t="s">
        <v>641</v>
      </c>
      <c r="V7" s="334" t="s">
        <v>415</v>
      </c>
      <c r="W7" s="265"/>
      <c r="X7" s="265"/>
      <c r="Y7" s="265"/>
      <c r="Z7" s="265"/>
      <c r="AA7" s="265"/>
      <c r="AB7" s="265"/>
    </row>
    <row r="8" spans="2:33">
      <c r="B8" s="11">
        <f t="shared" si="0"/>
        <v>280</v>
      </c>
      <c r="C8" s="11">
        <f t="shared" si="1"/>
        <v>13</v>
      </c>
      <c r="D8" s="132">
        <f t="shared" si="2"/>
        <v>464.28571428571428</v>
      </c>
      <c r="E8" s="12">
        <f t="shared" si="3"/>
        <v>14.95</v>
      </c>
      <c r="F8" s="136" t="s">
        <v>416</v>
      </c>
      <c r="G8" s="137"/>
      <c r="H8" s="137"/>
      <c r="I8" s="137"/>
      <c r="J8" s="138" t="s">
        <v>417</v>
      </c>
    </row>
    <row r="9" spans="2:33">
      <c r="B9" s="11">
        <f t="shared" si="0"/>
        <v>280</v>
      </c>
      <c r="C9" s="11">
        <f t="shared" si="1"/>
        <v>26</v>
      </c>
      <c r="D9" s="132">
        <f t="shared" si="2"/>
        <v>928.57142857142856</v>
      </c>
      <c r="E9" s="12">
        <f t="shared" si="3"/>
        <v>29.9</v>
      </c>
      <c r="F9" s="139" t="s">
        <v>222</v>
      </c>
      <c r="G9" s="140"/>
      <c r="H9" s="140"/>
      <c r="I9" s="141"/>
      <c r="J9" s="142" t="s">
        <v>418</v>
      </c>
    </row>
    <row r="10" spans="2:33">
      <c r="B10" s="11">
        <f t="shared" si="0"/>
        <v>280</v>
      </c>
      <c r="C10" s="566">
        <f t="shared" si="1"/>
        <v>1664</v>
      </c>
      <c r="D10" s="567">
        <f t="shared" si="2"/>
        <v>59428.571428571428</v>
      </c>
      <c r="E10" s="12">
        <f t="shared" si="3"/>
        <v>1913.6</v>
      </c>
      <c r="F10" s="144" t="s">
        <v>419</v>
      </c>
      <c r="G10" s="145"/>
      <c r="H10" s="145"/>
      <c r="I10" s="146"/>
      <c r="J10" s="147" t="s">
        <v>420</v>
      </c>
    </row>
    <row r="11" spans="2:33">
      <c r="B11" s="11">
        <f t="shared" si="0"/>
        <v>280</v>
      </c>
      <c r="C11" s="566">
        <f t="shared" si="1"/>
        <v>2275</v>
      </c>
      <c r="D11" s="567">
        <f t="shared" si="2"/>
        <v>81250</v>
      </c>
      <c r="E11" s="12">
        <f t="shared" si="3"/>
        <v>2616.25</v>
      </c>
      <c r="F11" s="148" t="s">
        <v>421</v>
      </c>
      <c r="G11" s="149"/>
      <c r="H11" s="149"/>
      <c r="I11" s="150"/>
      <c r="J11" s="151" t="s">
        <v>422</v>
      </c>
    </row>
    <row r="12" spans="2:33">
      <c r="B12" s="11">
        <f t="shared" si="0"/>
        <v>280</v>
      </c>
      <c r="C12" s="11">
        <v>0</v>
      </c>
      <c r="D12" s="143">
        <f t="shared" si="2"/>
        <v>0</v>
      </c>
      <c r="E12" s="12">
        <f t="shared" si="3"/>
        <v>0</v>
      </c>
      <c r="F12" s="152" t="s">
        <v>423</v>
      </c>
      <c r="G12" s="153"/>
      <c r="H12" s="153"/>
      <c r="I12" s="154"/>
      <c r="J12" s="155" t="s">
        <v>424</v>
      </c>
    </row>
    <row r="13" spans="2:33" ht="12" customHeight="1">
      <c r="D13" s="16"/>
      <c r="E13" s="16"/>
      <c r="R13" s="156"/>
    </row>
    <row r="14" spans="2:33" ht="12" customHeight="1">
      <c r="D14" s="16"/>
      <c r="E14" s="16"/>
      <c r="R14" s="156"/>
    </row>
    <row r="15" spans="2:33">
      <c r="C15" s="467" t="s">
        <v>426</v>
      </c>
      <c r="D15" s="467" t="s">
        <v>425</v>
      </c>
      <c r="E15" s="467"/>
      <c r="F15" s="11"/>
      <c r="G15" s="11"/>
      <c r="H15" s="11"/>
      <c r="I15" s="11"/>
      <c r="J15" s="11"/>
      <c r="K15" s="11"/>
      <c r="L15" s="11"/>
      <c r="M15" s="11"/>
      <c r="N15" s="11"/>
      <c r="O15" s="11"/>
      <c r="P15" s="11"/>
      <c r="Q15" s="11"/>
      <c r="R15" s="157"/>
      <c r="S15" s="11"/>
      <c r="T15" s="8"/>
      <c r="U15" s="11"/>
      <c r="V15" s="11"/>
      <c r="W15" s="11"/>
      <c r="X15" s="11"/>
      <c r="Y15" s="11"/>
      <c r="Z15" s="11"/>
      <c r="AA15" s="11"/>
      <c r="AB15" s="11"/>
      <c r="AC15" s="11"/>
      <c r="AD15" s="11"/>
      <c r="AE15" s="11"/>
      <c r="AF15" s="11"/>
      <c r="AG15" s="11"/>
    </row>
    <row r="16" spans="2:33">
      <c r="C16" s="468" t="s">
        <v>786</v>
      </c>
      <c r="D16" s="468" t="s">
        <v>786</v>
      </c>
      <c r="E16" s="467"/>
      <c r="F16" s="11"/>
      <c r="G16" s="11">
        <v>1</v>
      </c>
      <c r="H16" s="11">
        <v>2</v>
      </c>
      <c r="I16" s="11">
        <v>3</v>
      </c>
      <c r="J16" s="11">
        <v>4</v>
      </c>
      <c r="K16" s="11">
        <v>5</v>
      </c>
      <c r="L16" s="11">
        <v>6</v>
      </c>
      <c r="M16" s="11">
        <v>7</v>
      </c>
      <c r="N16" s="11">
        <v>8</v>
      </c>
      <c r="O16" s="11">
        <v>9</v>
      </c>
      <c r="P16" s="11">
        <v>10</v>
      </c>
      <c r="Q16" s="11">
        <v>11</v>
      </c>
      <c r="R16" s="11">
        <v>12</v>
      </c>
      <c r="S16" s="11">
        <v>13</v>
      </c>
      <c r="T16" s="8"/>
    </row>
    <row r="17" spans="2:33">
      <c r="B17" s="16" t="s">
        <v>643</v>
      </c>
      <c r="C17" s="467"/>
      <c r="D17" s="467" t="s">
        <v>427</v>
      </c>
      <c r="E17" s="469" t="s">
        <v>428</v>
      </c>
      <c r="F17" s="158">
        <v>150</v>
      </c>
      <c r="G17" s="159">
        <v>100</v>
      </c>
      <c r="H17" s="160">
        <v>300</v>
      </c>
      <c r="I17" s="159">
        <v>100</v>
      </c>
      <c r="J17" s="159">
        <v>150</v>
      </c>
      <c r="K17" s="159">
        <v>100</v>
      </c>
      <c r="L17" s="159">
        <v>150</v>
      </c>
      <c r="M17" s="159">
        <v>100</v>
      </c>
      <c r="N17" s="159">
        <v>150</v>
      </c>
      <c r="O17" s="159">
        <v>100</v>
      </c>
      <c r="P17" s="159">
        <v>150</v>
      </c>
      <c r="Q17" s="159">
        <v>100</v>
      </c>
      <c r="R17" s="159">
        <v>150</v>
      </c>
      <c r="S17" s="161">
        <v>100</v>
      </c>
      <c r="T17" s="162">
        <f>SUM(G17:S17)/100</f>
        <v>17.5</v>
      </c>
      <c r="U17" s="163">
        <v>300</v>
      </c>
      <c r="V17" s="11"/>
      <c r="W17" s="11">
        <v>150</v>
      </c>
      <c r="X17" s="11"/>
      <c r="Y17" s="11">
        <v>150</v>
      </c>
      <c r="Z17" s="11"/>
      <c r="AA17" s="11">
        <v>150</v>
      </c>
      <c r="AB17" s="11"/>
      <c r="AC17" s="11">
        <v>150</v>
      </c>
      <c r="AD17" s="11"/>
      <c r="AE17" s="11">
        <v>150</v>
      </c>
      <c r="AF17" s="11"/>
      <c r="AG17" s="164">
        <v>300</v>
      </c>
    </row>
    <row r="18" spans="2:33" ht="15.75" thickBot="1">
      <c r="B18" s="165"/>
      <c r="C18" s="11">
        <v>1</v>
      </c>
      <c r="E18" s="470">
        <v>150</v>
      </c>
      <c r="F18" s="166"/>
      <c r="G18" s="471" t="s">
        <v>422</v>
      </c>
      <c r="H18" s="167"/>
      <c r="I18" s="472" t="s">
        <v>422</v>
      </c>
      <c r="J18" s="167"/>
      <c r="K18" s="472" t="s">
        <v>422</v>
      </c>
      <c r="L18" s="167"/>
      <c r="M18" s="472" t="s">
        <v>422</v>
      </c>
      <c r="N18" s="167"/>
      <c r="O18" s="472" t="s">
        <v>422</v>
      </c>
      <c r="P18" s="167"/>
      <c r="Q18" s="472" t="s">
        <v>422</v>
      </c>
      <c r="R18" s="167"/>
      <c r="S18" s="473" t="s">
        <v>422</v>
      </c>
      <c r="T18" s="474">
        <v>150</v>
      </c>
    </row>
    <row r="19" spans="2:33" ht="15.75" thickTop="1">
      <c r="B19" s="165"/>
      <c r="C19" s="11">
        <v>2</v>
      </c>
      <c r="E19" s="168">
        <v>100</v>
      </c>
      <c r="F19" s="47"/>
      <c r="G19" s="169" t="s">
        <v>412</v>
      </c>
      <c r="H19" s="170" t="s">
        <v>420</v>
      </c>
      <c r="I19" s="171" t="s">
        <v>226</v>
      </c>
      <c r="J19" s="172" t="s">
        <v>418</v>
      </c>
      <c r="K19" s="171" t="s">
        <v>226</v>
      </c>
      <c r="L19" s="172" t="s">
        <v>418</v>
      </c>
      <c r="M19" s="173" t="s">
        <v>413</v>
      </c>
      <c r="N19" s="174"/>
      <c r="O19" s="171" t="s">
        <v>226</v>
      </c>
      <c r="P19" s="170" t="s">
        <v>420</v>
      </c>
      <c r="Q19" s="175" t="s">
        <v>226</v>
      </c>
      <c r="R19" s="174"/>
      <c r="S19" s="169" t="s">
        <v>412</v>
      </c>
      <c r="T19" s="176">
        <v>100</v>
      </c>
      <c r="U19" s="177"/>
      <c r="V19" s="177" t="s">
        <v>226</v>
      </c>
      <c r="W19" s="178"/>
      <c r="X19" s="177" t="s">
        <v>226</v>
      </c>
      <c r="Y19" s="178"/>
      <c r="Z19" s="179" t="s">
        <v>413</v>
      </c>
      <c r="AA19" s="178"/>
      <c r="AB19" s="177" t="s">
        <v>226</v>
      </c>
      <c r="AC19" s="178"/>
      <c r="AD19" s="177" t="s">
        <v>226</v>
      </c>
      <c r="AE19" s="178"/>
      <c r="AF19" s="180" t="s">
        <v>412</v>
      </c>
      <c r="AG19" s="181" t="s">
        <v>429</v>
      </c>
    </row>
    <row r="20" spans="2:33">
      <c r="B20" s="165"/>
      <c r="C20" s="11">
        <v>3</v>
      </c>
      <c r="E20" s="168">
        <v>150</v>
      </c>
      <c r="F20" s="47"/>
      <c r="G20" s="182" t="s">
        <v>413</v>
      </c>
      <c r="H20" s="170" t="s">
        <v>420</v>
      </c>
      <c r="I20" s="183"/>
      <c r="J20" s="172" t="s">
        <v>418</v>
      </c>
      <c r="K20" s="182" t="s">
        <v>413</v>
      </c>
      <c r="L20" s="172" t="s">
        <v>418</v>
      </c>
      <c r="M20" s="171" t="s">
        <v>226</v>
      </c>
      <c r="N20" s="174"/>
      <c r="O20" s="183"/>
      <c r="P20" s="170" t="s">
        <v>420</v>
      </c>
      <c r="Q20" s="182" t="s">
        <v>413</v>
      </c>
      <c r="R20" s="174"/>
      <c r="S20" s="171" t="s">
        <v>226</v>
      </c>
      <c r="T20" s="176">
        <v>150</v>
      </c>
      <c r="U20" s="177"/>
      <c r="V20" s="177"/>
      <c r="W20" s="178"/>
      <c r="X20" s="177"/>
      <c r="Y20" s="178"/>
      <c r="Z20" s="177"/>
      <c r="AA20" s="178"/>
      <c r="AB20" s="177"/>
      <c r="AC20" s="178"/>
      <c r="AD20" s="177"/>
      <c r="AE20" s="178"/>
      <c r="AF20" s="177"/>
      <c r="AG20" s="184" t="s">
        <v>430</v>
      </c>
    </row>
    <row r="21" spans="2:33">
      <c r="B21" s="165"/>
      <c r="C21" s="11">
        <v>4</v>
      </c>
      <c r="E21" s="168">
        <v>100</v>
      </c>
      <c r="F21" s="47"/>
      <c r="G21" s="171" t="s">
        <v>226</v>
      </c>
      <c r="H21" s="170" t="s">
        <v>420</v>
      </c>
      <c r="I21" s="171" t="s">
        <v>226</v>
      </c>
      <c r="J21" s="172" t="s">
        <v>418</v>
      </c>
      <c r="K21" s="171" t="s">
        <v>226</v>
      </c>
      <c r="L21" s="172" t="s">
        <v>418</v>
      </c>
      <c r="M21" s="171" t="s">
        <v>226</v>
      </c>
      <c r="N21" s="174"/>
      <c r="O21" s="175" t="s">
        <v>226</v>
      </c>
      <c r="P21" s="170" t="s">
        <v>420</v>
      </c>
      <c r="Q21" s="171" t="s">
        <v>226</v>
      </c>
      <c r="R21" s="174"/>
      <c r="S21" s="171" t="s">
        <v>226</v>
      </c>
      <c r="T21" s="176">
        <v>100</v>
      </c>
      <c r="U21" s="177"/>
      <c r="V21" s="177" t="s">
        <v>226</v>
      </c>
      <c r="W21" s="178"/>
      <c r="X21" s="177" t="s">
        <v>226</v>
      </c>
      <c r="Y21" s="178"/>
      <c r="Z21" s="177" t="s">
        <v>226</v>
      </c>
      <c r="AA21" s="178"/>
      <c r="AB21" s="177" t="s">
        <v>226</v>
      </c>
      <c r="AC21" s="178"/>
      <c r="AD21" s="177" t="s">
        <v>226</v>
      </c>
      <c r="AE21" s="178"/>
      <c r="AF21" s="177" t="s">
        <v>226</v>
      </c>
      <c r="AG21" s="185"/>
    </row>
    <row r="22" spans="2:33">
      <c r="B22" s="165"/>
      <c r="C22" s="11">
        <v>5</v>
      </c>
      <c r="E22" s="168">
        <v>150</v>
      </c>
      <c r="F22" s="47"/>
      <c r="G22" s="183"/>
      <c r="H22" s="170" t="s">
        <v>420</v>
      </c>
      <c r="I22" s="182" t="s">
        <v>413</v>
      </c>
      <c r="J22" s="172" t="s">
        <v>418</v>
      </c>
      <c r="K22" s="183"/>
      <c r="L22" s="172" t="s">
        <v>418</v>
      </c>
      <c r="M22" s="171" t="s">
        <v>226</v>
      </c>
      <c r="N22" s="174"/>
      <c r="O22" s="182" t="s">
        <v>413</v>
      </c>
      <c r="P22" s="170" t="s">
        <v>420</v>
      </c>
      <c r="Q22" s="171" t="s">
        <v>226</v>
      </c>
      <c r="R22" s="174"/>
      <c r="S22" s="183"/>
      <c r="T22" s="176">
        <v>150</v>
      </c>
      <c r="U22" s="177"/>
      <c r="V22" s="177"/>
      <c r="W22" s="178"/>
      <c r="X22" s="177"/>
      <c r="Y22" s="178"/>
      <c r="Z22" s="177"/>
      <c r="AA22" s="178"/>
      <c r="AB22" s="177"/>
      <c r="AC22" s="178"/>
      <c r="AD22" s="177"/>
      <c r="AE22" s="178"/>
      <c r="AF22" s="177"/>
      <c r="AG22" s="185"/>
    </row>
    <row r="23" spans="2:33">
      <c r="B23" s="165"/>
      <c r="C23" s="11">
        <v>6</v>
      </c>
      <c r="E23" s="168">
        <v>100</v>
      </c>
      <c r="F23" s="47"/>
      <c r="G23" s="171" t="s">
        <v>226</v>
      </c>
      <c r="H23" s="170" t="s">
        <v>420</v>
      </c>
      <c r="I23" s="171" t="s">
        <v>226</v>
      </c>
      <c r="J23" s="172" t="s">
        <v>418</v>
      </c>
      <c r="K23" s="171" t="s">
        <v>226</v>
      </c>
      <c r="L23" s="172" t="s">
        <v>418</v>
      </c>
      <c r="M23" s="175" t="s">
        <v>226</v>
      </c>
      <c r="N23" s="174"/>
      <c r="O23" s="171" t="s">
        <v>226</v>
      </c>
      <c r="P23" s="170" t="s">
        <v>420</v>
      </c>
      <c r="Q23" s="171" t="s">
        <v>226</v>
      </c>
      <c r="R23" s="174"/>
      <c r="S23" s="171" t="s">
        <v>226</v>
      </c>
      <c r="T23" s="176">
        <v>100</v>
      </c>
      <c r="U23" s="177"/>
      <c r="V23" s="177" t="s">
        <v>226</v>
      </c>
      <c r="W23" s="178"/>
      <c r="X23" s="177" t="s">
        <v>226</v>
      </c>
      <c r="Y23" s="178"/>
      <c r="Z23" s="177" t="s">
        <v>226</v>
      </c>
      <c r="AA23" s="178"/>
      <c r="AB23" s="177" t="s">
        <v>226</v>
      </c>
      <c r="AC23" s="178"/>
      <c r="AD23" s="177" t="s">
        <v>226</v>
      </c>
      <c r="AE23" s="178"/>
      <c r="AF23" s="177" t="s">
        <v>226</v>
      </c>
      <c r="AG23" s="185"/>
    </row>
    <row r="24" spans="2:33">
      <c r="B24" s="165"/>
      <c r="C24" s="11">
        <v>7</v>
      </c>
      <c r="E24" s="168">
        <v>150</v>
      </c>
      <c r="F24" s="47"/>
      <c r="G24" s="171" t="s">
        <v>226</v>
      </c>
      <c r="H24" s="170" t="s">
        <v>420</v>
      </c>
      <c r="I24" s="183"/>
      <c r="J24" s="172" t="s">
        <v>418</v>
      </c>
      <c r="K24" s="171" t="s">
        <v>226</v>
      </c>
      <c r="L24" s="172" t="s">
        <v>418</v>
      </c>
      <c r="M24" s="173" t="s">
        <v>413</v>
      </c>
      <c r="N24" s="174"/>
      <c r="O24" s="171" t="s">
        <v>226</v>
      </c>
      <c r="P24" s="170" t="s">
        <v>420</v>
      </c>
      <c r="Q24" s="183"/>
      <c r="R24" s="174"/>
      <c r="S24" s="182" t="s">
        <v>413</v>
      </c>
      <c r="T24" s="176">
        <v>150</v>
      </c>
      <c r="U24" s="177"/>
      <c r="V24" s="177"/>
      <c r="W24" s="178"/>
      <c r="X24" s="177"/>
      <c r="Y24" s="178"/>
      <c r="Z24" s="177"/>
      <c r="AA24" s="178"/>
      <c r="AB24" s="177"/>
      <c r="AC24" s="178"/>
      <c r="AD24" s="177"/>
      <c r="AE24" s="178"/>
      <c r="AF24" s="177"/>
      <c r="AG24" s="185"/>
    </row>
    <row r="25" spans="2:33">
      <c r="B25" s="165"/>
      <c r="C25" s="11">
        <v>8</v>
      </c>
      <c r="E25" s="168">
        <v>100</v>
      </c>
      <c r="F25" s="47"/>
      <c r="G25" s="171" t="s">
        <v>226</v>
      </c>
      <c r="H25" s="170" t="s">
        <v>420</v>
      </c>
      <c r="I25" s="171" t="s">
        <v>226</v>
      </c>
      <c r="J25" s="172" t="s">
        <v>418</v>
      </c>
      <c r="K25" s="171" t="s">
        <v>226</v>
      </c>
      <c r="L25" s="172" t="s">
        <v>418</v>
      </c>
      <c r="M25" s="171" t="s">
        <v>226</v>
      </c>
      <c r="N25" s="174"/>
      <c r="O25" s="171" t="s">
        <v>226</v>
      </c>
      <c r="P25" s="170" t="s">
        <v>420</v>
      </c>
      <c r="Q25" s="171" t="s">
        <v>226</v>
      </c>
      <c r="R25" s="174"/>
      <c r="S25" s="171" t="s">
        <v>226</v>
      </c>
      <c r="T25" s="176">
        <v>100</v>
      </c>
      <c r="U25" s="177"/>
      <c r="V25" s="177" t="s">
        <v>226</v>
      </c>
      <c r="W25" s="178"/>
      <c r="X25" s="177" t="s">
        <v>226</v>
      </c>
      <c r="Y25" s="178"/>
      <c r="Z25" s="179" t="s">
        <v>413</v>
      </c>
      <c r="AA25" s="178"/>
      <c r="AB25" s="177" t="s">
        <v>226</v>
      </c>
      <c r="AC25" s="178"/>
      <c r="AD25" s="177" t="s">
        <v>226</v>
      </c>
      <c r="AE25" s="178"/>
      <c r="AF25" s="179" t="s">
        <v>413</v>
      </c>
      <c r="AG25" s="185"/>
    </row>
    <row r="26" spans="2:33">
      <c r="B26" s="165"/>
      <c r="C26" s="11">
        <v>9</v>
      </c>
      <c r="E26" s="168">
        <v>150</v>
      </c>
      <c r="F26" s="47"/>
      <c r="G26" s="182" t="s">
        <v>413</v>
      </c>
      <c r="H26" s="170" t="s">
        <v>420</v>
      </c>
      <c r="I26" s="171" t="s">
        <v>226</v>
      </c>
      <c r="J26" s="172" t="s">
        <v>418</v>
      </c>
      <c r="K26" s="182" t="s">
        <v>413</v>
      </c>
      <c r="L26" s="172" t="s">
        <v>418</v>
      </c>
      <c r="M26" s="171" t="s">
        <v>226</v>
      </c>
      <c r="N26" s="174"/>
      <c r="O26" s="183"/>
      <c r="P26" s="170" t="s">
        <v>420</v>
      </c>
      <c r="Q26" s="182" t="s">
        <v>413</v>
      </c>
      <c r="R26" s="174"/>
      <c r="S26" s="171" t="s">
        <v>226</v>
      </c>
      <c r="T26" s="176">
        <v>150</v>
      </c>
      <c r="U26" s="177"/>
      <c r="V26" s="177"/>
      <c r="W26" s="178"/>
      <c r="X26" s="177"/>
      <c r="Y26" s="178"/>
      <c r="Z26" s="177"/>
      <c r="AA26" s="178"/>
      <c r="AB26" s="177"/>
      <c r="AC26" s="178"/>
      <c r="AD26" s="177"/>
      <c r="AE26" s="178"/>
      <c r="AF26" s="177"/>
      <c r="AG26" s="185"/>
    </row>
    <row r="27" spans="2:33">
      <c r="B27" s="165"/>
      <c r="C27" s="11">
        <v>10</v>
      </c>
      <c r="E27" s="168">
        <v>100</v>
      </c>
      <c r="F27" s="47"/>
      <c r="G27" s="171" t="s">
        <v>226</v>
      </c>
      <c r="H27" s="170" t="s">
        <v>420</v>
      </c>
      <c r="I27" s="171" t="s">
        <v>226</v>
      </c>
      <c r="J27" s="172" t="s">
        <v>418</v>
      </c>
      <c r="K27" s="175" t="s">
        <v>226</v>
      </c>
      <c r="L27" s="172" t="s">
        <v>418</v>
      </c>
      <c r="M27" s="171" t="s">
        <v>226</v>
      </c>
      <c r="N27" s="174"/>
      <c r="O27" s="175" t="s">
        <v>226</v>
      </c>
      <c r="P27" s="170" t="s">
        <v>420</v>
      </c>
      <c r="Q27" s="171" t="s">
        <v>226</v>
      </c>
      <c r="R27" s="174"/>
      <c r="S27" s="171" t="s">
        <v>226</v>
      </c>
      <c r="T27" s="176">
        <v>100</v>
      </c>
      <c r="U27" s="177"/>
      <c r="V27" s="177" t="s">
        <v>226</v>
      </c>
      <c r="W27" s="178"/>
      <c r="X27" s="177" t="s">
        <v>226</v>
      </c>
      <c r="Y27" s="178"/>
      <c r="Z27" s="177" t="s">
        <v>226</v>
      </c>
      <c r="AA27" s="178"/>
      <c r="AB27" s="177" t="s">
        <v>226</v>
      </c>
      <c r="AC27" s="178"/>
      <c r="AD27" s="177" t="s">
        <v>226</v>
      </c>
      <c r="AE27" s="178"/>
      <c r="AF27" s="177" t="s">
        <v>226</v>
      </c>
      <c r="AG27" s="185"/>
    </row>
    <row r="28" spans="2:33">
      <c r="B28" s="165"/>
      <c r="C28" s="11">
        <v>11</v>
      </c>
      <c r="E28" s="168">
        <v>150</v>
      </c>
      <c r="F28" s="47"/>
      <c r="G28" s="183"/>
      <c r="H28" s="170" t="s">
        <v>420</v>
      </c>
      <c r="I28" s="182" t="s">
        <v>413</v>
      </c>
      <c r="J28" s="172" t="s">
        <v>418</v>
      </c>
      <c r="K28" s="183"/>
      <c r="L28" s="172" t="s">
        <v>418</v>
      </c>
      <c r="M28" s="171" t="s">
        <v>226</v>
      </c>
      <c r="N28" s="174"/>
      <c r="O28" s="182" t="s">
        <v>413</v>
      </c>
      <c r="P28" s="170" t="s">
        <v>420</v>
      </c>
      <c r="Q28" s="171" t="s">
        <v>226</v>
      </c>
      <c r="R28" s="174"/>
      <c r="S28" s="183"/>
      <c r="T28" s="176">
        <v>150</v>
      </c>
      <c r="U28" s="177"/>
      <c r="V28" s="177"/>
      <c r="W28" s="178"/>
      <c r="X28" s="177"/>
      <c r="Y28" s="178"/>
      <c r="Z28" s="177"/>
      <c r="AA28" s="178"/>
      <c r="AB28" s="177"/>
      <c r="AC28" s="178"/>
      <c r="AD28" s="177"/>
      <c r="AE28" s="178"/>
      <c r="AF28" s="177"/>
      <c r="AG28" s="185"/>
    </row>
    <row r="29" spans="2:33">
      <c r="B29" s="165"/>
      <c r="C29" s="11">
        <v>12</v>
      </c>
      <c r="E29" s="168">
        <v>100</v>
      </c>
      <c r="F29" s="47"/>
      <c r="G29" s="171" t="s">
        <v>226</v>
      </c>
      <c r="H29" s="170" t="s">
        <v>420</v>
      </c>
      <c r="I29" s="171" t="s">
        <v>226</v>
      </c>
      <c r="J29" s="172" t="s">
        <v>418</v>
      </c>
      <c r="K29" s="171" t="s">
        <v>226</v>
      </c>
      <c r="L29" s="172" t="s">
        <v>418</v>
      </c>
      <c r="M29" s="171" t="s">
        <v>226</v>
      </c>
      <c r="N29" s="174"/>
      <c r="O29" s="171" t="s">
        <v>226</v>
      </c>
      <c r="P29" s="170" t="s">
        <v>420</v>
      </c>
      <c r="Q29" s="171" t="s">
        <v>226</v>
      </c>
      <c r="R29" s="174"/>
      <c r="S29" s="171" t="s">
        <v>226</v>
      </c>
      <c r="T29" s="176">
        <v>100</v>
      </c>
      <c r="U29" s="177"/>
      <c r="V29" s="177" t="s">
        <v>226</v>
      </c>
      <c r="W29" s="178"/>
      <c r="X29" s="177" t="s">
        <v>226</v>
      </c>
      <c r="Y29" s="178"/>
      <c r="Z29" s="177" t="s">
        <v>226</v>
      </c>
      <c r="AA29" s="178"/>
      <c r="AB29" s="177" t="s">
        <v>226</v>
      </c>
      <c r="AC29" s="178"/>
      <c r="AD29" s="177" t="s">
        <v>226</v>
      </c>
      <c r="AE29" s="178"/>
      <c r="AF29" s="177" t="s">
        <v>226</v>
      </c>
      <c r="AG29" s="185"/>
    </row>
    <row r="30" spans="2:33">
      <c r="B30" s="165"/>
      <c r="C30" s="11">
        <v>13</v>
      </c>
      <c r="E30" s="168">
        <v>150</v>
      </c>
      <c r="F30" s="47"/>
      <c r="G30" s="171" t="s">
        <v>226</v>
      </c>
      <c r="H30" s="170" t="s">
        <v>420</v>
      </c>
      <c r="I30" s="183"/>
      <c r="J30" s="172" t="s">
        <v>418</v>
      </c>
      <c r="K30" s="171" t="s">
        <v>226</v>
      </c>
      <c r="L30" s="172" t="s">
        <v>418</v>
      </c>
      <c r="M30" s="173" t="s">
        <v>413</v>
      </c>
      <c r="N30" s="174"/>
      <c r="O30" s="171" t="s">
        <v>226</v>
      </c>
      <c r="P30" s="170" t="s">
        <v>420</v>
      </c>
      <c r="Q30" s="183"/>
      <c r="R30" s="174"/>
      <c r="S30" s="182" t="s">
        <v>413</v>
      </c>
      <c r="T30" s="176">
        <v>150</v>
      </c>
      <c r="U30" s="177"/>
      <c r="V30" s="177"/>
      <c r="W30" s="178"/>
      <c r="X30" s="177"/>
      <c r="Y30" s="178"/>
      <c r="Z30" s="177"/>
      <c r="AA30" s="178"/>
      <c r="AB30" s="177"/>
      <c r="AC30" s="178"/>
      <c r="AD30" s="177"/>
      <c r="AE30" s="178"/>
      <c r="AF30" s="177"/>
      <c r="AG30" s="185"/>
    </row>
    <row r="31" spans="2:33">
      <c r="B31" s="165"/>
      <c r="C31" s="186">
        <v>14</v>
      </c>
      <c r="E31" s="187">
        <v>100</v>
      </c>
      <c r="F31" s="47"/>
      <c r="G31" s="188" t="s">
        <v>412</v>
      </c>
      <c r="H31" s="189" t="s">
        <v>420</v>
      </c>
      <c r="I31" s="190" t="s">
        <v>226</v>
      </c>
      <c r="J31" s="172" t="s">
        <v>418</v>
      </c>
      <c r="K31" s="190" t="s">
        <v>226</v>
      </c>
      <c r="L31" s="172" t="s">
        <v>418</v>
      </c>
      <c r="M31" s="190" t="s">
        <v>226</v>
      </c>
      <c r="N31" s="174"/>
      <c r="O31" s="190" t="s">
        <v>226</v>
      </c>
      <c r="P31" s="170" t="s">
        <v>420</v>
      </c>
      <c r="Q31" s="190" t="s">
        <v>226</v>
      </c>
      <c r="R31" s="174"/>
      <c r="S31" s="191" t="s">
        <v>412</v>
      </c>
      <c r="T31" s="192">
        <v>100</v>
      </c>
      <c r="U31" s="177"/>
      <c r="V31" s="177" t="s">
        <v>226</v>
      </c>
      <c r="W31" s="177"/>
      <c r="X31" s="177" t="s">
        <v>226</v>
      </c>
      <c r="Y31" s="177"/>
      <c r="Z31" s="177" t="s">
        <v>413</v>
      </c>
      <c r="AA31" s="177"/>
      <c r="AB31" s="177" t="s">
        <v>226</v>
      </c>
      <c r="AC31" s="177"/>
      <c r="AD31" s="177" t="s">
        <v>226</v>
      </c>
      <c r="AE31" s="177"/>
      <c r="AF31" s="177" t="s">
        <v>412</v>
      </c>
      <c r="AG31" s="185"/>
    </row>
    <row r="32" spans="2:33" s="193" customFormat="1">
      <c r="C32" s="194"/>
      <c r="D32" s="195"/>
      <c r="E32" s="195"/>
      <c r="F32" s="195"/>
      <c r="G32" s="175"/>
      <c r="H32" s="175"/>
      <c r="I32" s="196"/>
      <c r="J32" s="197"/>
      <c r="K32" s="196"/>
      <c r="L32" s="197"/>
      <c r="M32" s="198"/>
      <c r="N32" s="197"/>
      <c r="O32" s="196"/>
      <c r="P32" s="197"/>
      <c r="Q32" s="196"/>
      <c r="R32" s="197"/>
      <c r="S32" s="199"/>
      <c r="T32" s="195"/>
      <c r="U32" s="200"/>
      <c r="V32" s="201"/>
      <c r="W32" s="202"/>
      <c r="X32" s="201"/>
      <c r="Y32" s="202"/>
      <c r="Z32" s="201"/>
      <c r="AA32" s="202"/>
      <c r="AB32" s="201"/>
      <c r="AC32" s="202"/>
      <c r="AD32" s="201"/>
      <c r="AE32" s="202"/>
      <c r="AF32" s="201"/>
      <c r="AG32" s="203"/>
    </row>
    <row r="33" spans="2:33">
      <c r="B33" s="208" t="s">
        <v>427</v>
      </c>
      <c r="C33" s="204"/>
      <c r="D33" s="205"/>
      <c r="E33" s="204">
        <f>SUM(E19:E31)/100</f>
        <v>16</v>
      </c>
      <c r="F33" s="205"/>
      <c r="G33" s="206"/>
      <c r="H33" s="206"/>
      <c r="I33" s="206"/>
      <c r="J33" s="206"/>
      <c r="K33" s="206"/>
      <c r="L33" s="206"/>
      <c r="M33" s="206"/>
      <c r="N33" s="206"/>
      <c r="O33" s="206"/>
      <c r="P33" s="206"/>
      <c r="Q33" s="206"/>
      <c r="R33" s="206"/>
      <c r="S33" s="206"/>
      <c r="T33" s="204">
        <f>SUM(T19:T31)/100</f>
        <v>16</v>
      </c>
      <c r="U33" s="207"/>
      <c r="V33" s="208"/>
      <c r="W33" s="208"/>
      <c r="X33" s="208"/>
      <c r="Y33" s="208"/>
      <c r="Z33" s="208"/>
      <c r="AA33" s="208"/>
      <c r="AB33" s="208"/>
      <c r="AC33" s="208"/>
      <c r="AD33" s="208"/>
      <c r="AE33" s="208"/>
      <c r="AF33" s="208"/>
      <c r="AG33" s="204"/>
    </row>
    <row r="34" spans="2:33">
      <c r="B34" s="169" t="s">
        <v>412</v>
      </c>
      <c r="C34" s="204"/>
      <c r="D34" s="204"/>
      <c r="E34" s="204">
        <f>SUM(G34:S34)</f>
        <v>4</v>
      </c>
      <c r="F34" s="204"/>
      <c r="G34" s="208">
        <v>2</v>
      </c>
      <c r="H34" s="208"/>
      <c r="I34" s="208"/>
      <c r="J34" s="208"/>
      <c r="K34" s="208"/>
      <c r="L34" s="208"/>
      <c r="M34" s="208"/>
      <c r="N34" s="208"/>
      <c r="O34" s="208"/>
      <c r="P34" s="208"/>
      <c r="Q34" s="208"/>
      <c r="R34" s="208"/>
      <c r="S34" s="208">
        <v>2</v>
      </c>
      <c r="T34" s="204"/>
      <c r="U34" s="208"/>
      <c r="V34" s="208"/>
      <c r="W34" s="208"/>
      <c r="X34" s="208"/>
      <c r="Y34" s="208"/>
      <c r="Z34" s="208"/>
      <c r="AA34" s="208"/>
      <c r="AB34" s="208"/>
      <c r="AC34" s="208"/>
      <c r="AD34" s="208"/>
      <c r="AE34" s="208"/>
      <c r="AF34" s="208"/>
      <c r="AG34" s="204"/>
    </row>
    <row r="35" spans="2:33">
      <c r="B35" s="182" t="s">
        <v>413</v>
      </c>
      <c r="C35" s="204"/>
      <c r="D35" s="204"/>
      <c r="E35" s="204">
        <f t="shared" ref="E35:E40" si="4">SUM(G35:S35)</f>
        <v>13</v>
      </c>
      <c r="F35" s="204"/>
      <c r="G35" s="208">
        <v>2</v>
      </c>
      <c r="H35" s="208"/>
      <c r="I35" s="208">
        <v>2</v>
      </c>
      <c r="J35" s="208"/>
      <c r="K35" s="208">
        <v>2</v>
      </c>
      <c r="L35" s="208"/>
      <c r="M35" s="208">
        <v>3</v>
      </c>
      <c r="N35" s="208"/>
      <c r="O35" s="208">
        <v>2</v>
      </c>
      <c r="P35" s="208"/>
      <c r="Q35" s="208">
        <v>2</v>
      </c>
      <c r="R35" s="208"/>
      <c r="S35" s="208"/>
      <c r="T35" s="204"/>
      <c r="U35" s="208"/>
      <c r="V35" s="208"/>
      <c r="W35" s="208"/>
      <c r="X35" s="208"/>
      <c r="Y35" s="208"/>
      <c r="Z35" s="208"/>
      <c r="AA35" s="208"/>
      <c r="AB35" s="208"/>
      <c r="AC35" s="208"/>
      <c r="AD35" s="208"/>
      <c r="AE35" s="208"/>
      <c r="AF35" s="208"/>
      <c r="AG35" s="204"/>
    </row>
    <row r="36" spans="2:33">
      <c r="B36" s="171" t="s">
        <v>226</v>
      </c>
      <c r="C36" s="204"/>
      <c r="D36" s="204"/>
      <c r="E36" s="204">
        <f t="shared" si="4"/>
        <v>58</v>
      </c>
      <c r="F36" s="204"/>
      <c r="G36" s="208">
        <v>6</v>
      </c>
      <c r="H36" s="208"/>
      <c r="I36" s="208">
        <v>8</v>
      </c>
      <c r="J36" s="208"/>
      <c r="K36" s="208">
        <v>9</v>
      </c>
      <c r="L36" s="208"/>
      <c r="M36" s="208">
        <v>10</v>
      </c>
      <c r="N36" s="208"/>
      <c r="O36" s="208">
        <v>9</v>
      </c>
      <c r="P36" s="208"/>
      <c r="Q36" s="208">
        <v>9</v>
      </c>
      <c r="R36" s="208"/>
      <c r="S36" s="208">
        <v>7</v>
      </c>
      <c r="T36" s="204"/>
      <c r="U36" s="208"/>
      <c r="V36" s="208"/>
      <c r="W36" s="208"/>
      <c r="X36" s="208"/>
      <c r="Y36" s="208"/>
      <c r="Z36" s="208"/>
      <c r="AA36" s="208"/>
      <c r="AB36" s="208"/>
      <c r="AC36" s="208"/>
      <c r="AD36" s="208"/>
      <c r="AE36" s="208"/>
      <c r="AF36" s="208"/>
      <c r="AG36" s="204"/>
    </row>
    <row r="37" spans="2:33">
      <c r="B37" s="183" t="s">
        <v>417</v>
      </c>
      <c r="C37" s="204"/>
      <c r="D37" s="204"/>
      <c r="E37" s="204">
        <f t="shared" si="4"/>
        <v>13</v>
      </c>
      <c r="F37" s="204"/>
      <c r="G37" s="208">
        <v>2</v>
      </c>
      <c r="H37" s="208"/>
      <c r="I37" s="208">
        <v>3</v>
      </c>
      <c r="J37" s="208"/>
      <c r="K37" s="208">
        <v>2</v>
      </c>
      <c r="L37" s="208"/>
      <c r="M37" s="208">
        <v>0</v>
      </c>
      <c r="N37" s="208"/>
      <c r="O37" s="208">
        <v>2</v>
      </c>
      <c r="P37" s="208"/>
      <c r="Q37" s="208">
        <v>2</v>
      </c>
      <c r="R37" s="208"/>
      <c r="S37" s="208">
        <v>2</v>
      </c>
      <c r="T37" s="204"/>
      <c r="U37" s="208"/>
      <c r="V37" s="208"/>
      <c r="W37" s="208"/>
      <c r="X37" s="208"/>
      <c r="Y37" s="208"/>
      <c r="Z37" s="208"/>
      <c r="AA37" s="208"/>
      <c r="AB37" s="208"/>
      <c r="AC37" s="208"/>
      <c r="AD37" s="208"/>
      <c r="AE37" s="208"/>
      <c r="AF37" s="208"/>
      <c r="AG37" s="204"/>
    </row>
    <row r="38" spans="2:33">
      <c r="B38" s="172" t="s">
        <v>418</v>
      </c>
      <c r="C38" s="204"/>
      <c r="D38" s="204"/>
      <c r="E38" s="204">
        <f t="shared" si="4"/>
        <v>26</v>
      </c>
      <c r="F38" s="204"/>
      <c r="G38" s="208">
        <v>0</v>
      </c>
      <c r="H38" s="208"/>
      <c r="I38" s="208"/>
      <c r="J38" s="208">
        <v>13</v>
      </c>
      <c r="K38" s="208"/>
      <c r="L38" s="208">
        <v>13</v>
      </c>
      <c r="M38" s="208"/>
      <c r="N38" s="208"/>
      <c r="O38" s="208"/>
      <c r="P38" s="208"/>
      <c r="Q38" s="208"/>
      <c r="R38" s="208"/>
      <c r="S38" s="208"/>
      <c r="T38" s="204"/>
      <c r="U38" s="208"/>
      <c r="V38" s="208"/>
      <c r="W38" s="208"/>
      <c r="X38" s="208"/>
      <c r="Y38" s="208"/>
      <c r="Z38" s="208"/>
      <c r="AA38" s="208"/>
      <c r="AB38" s="208"/>
      <c r="AC38" s="208"/>
      <c r="AD38" s="208"/>
      <c r="AE38" s="208"/>
      <c r="AF38" s="208"/>
      <c r="AG38" s="204"/>
    </row>
    <row r="39" spans="2:33">
      <c r="B39" s="170" t="s">
        <v>431</v>
      </c>
      <c r="C39" s="204"/>
      <c r="D39" s="204"/>
      <c r="E39" s="204">
        <f>+H39+P39</f>
        <v>1664</v>
      </c>
      <c r="F39" s="204"/>
      <c r="G39" s="208">
        <v>0</v>
      </c>
      <c r="H39" s="208">
        <f>13*8*3*2*2</f>
        <v>1248</v>
      </c>
      <c r="I39" s="208"/>
      <c r="J39" s="208"/>
      <c r="K39" s="208"/>
      <c r="L39" s="208"/>
      <c r="M39" s="208"/>
      <c r="N39" s="208"/>
      <c r="O39" s="208"/>
      <c r="P39" s="208">
        <f>+H39/3</f>
        <v>416</v>
      </c>
      <c r="Q39" s="208"/>
      <c r="R39" s="208"/>
      <c r="S39" s="208"/>
      <c r="T39" s="204"/>
      <c r="U39" s="208"/>
      <c r="V39" s="208"/>
      <c r="W39" s="208"/>
      <c r="X39" s="208"/>
      <c r="Y39" s="208"/>
      <c r="Z39" s="208"/>
      <c r="AA39" s="208"/>
      <c r="AB39" s="208"/>
      <c r="AC39" s="208"/>
      <c r="AD39" s="208"/>
      <c r="AE39" s="208"/>
      <c r="AF39" s="208"/>
      <c r="AG39" s="204"/>
    </row>
    <row r="40" spans="2:33">
      <c r="B40" s="209" t="s">
        <v>432</v>
      </c>
      <c r="C40" s="204"/>
      <c r="D40" s="204"/>
      <c r="E40" s="204">
        <f t="shared" si="4"/>
        <v>2275</v>
      </c>
      <c r="F40" s="204"/>
      <c r="G40" s="208">
        <f>13*25</f>
        <v>325</v>
      </c>
      <c r="H40" s="208"/>
      <c r="I40" s="208">
        <f>13*25</f>
        <v>325</v>
      </c>
      <c r="J40" s="208"/>
      <c r="K40" s="208">
        <f>13*25</f>
        <v>325</v>
      </c>
      <c r="L40" s="208"/>
      <c r="M40" s="208">
        <f>13*25</f>
        <v>325</v>
      </c>
      <c r="N40" s="208"/>
      <c r="O40" s="208">
        <f>13*25</f>
        <v>325</v>
      </c>
      <c r="P40" s="208"/>
      <c r="Q40" s="208">
        <f>13*25</f>
        <v>325</v>
      </c>
      <c r="R40" s="208"/>
      <c r="S40" s="208">
        <f>13*25</f>
        <v>325</v>
      </c>
      <c r="T40" s="204"/>
      <c r="U40" s="208"/>
      <c r="V40" s="208"/>
      <c r="W40" s="208"/>
      <c r="X40" s="208"/>
      <c r="Y40" s="208"/>
      <c r="Z40" s="208"/>
      <c r="AA40" s="208"/>
      <c r="AB40" s="208"/>
      <c r="AC40" s="208"/>
      <c r="AD40" s="208"/>
      <c r="AE40" s="208"/>
      <c r="AF40" s="208"/>
      <c r="AG40" s="204"/>
    </row>
    <row r="41" spans="2:33">
      <c r="B41" s="174" t="s">
        <v>424</v>
      </c>
      <c r="C41" s="204"/>
      <c r="D41" s="204"/>
      <c r="E41" s="204"/>
      <c r="F41" s="204"/>
      <c r="G41" s="208"/>
      <c r="H41" s="208"/>
      <c r="I41" s="208"/>
      <c r="J41" s="208"/>
      <c r="K41" s="208"/>
      <c r="L41" s="208"/>
      <c r="M41" s="208"/>
      <c r="N41" s="208"/>
      <c r="O41" s="208"/>
      <c r="P41" s="208"/>
      <c r="Q41" s="208"/>
      <c r="R41" s="208"/>
      <c r="S41" s="208"/>
      <c r="T41" s="204"/>
      <c r="U41" s="208"/>
      <c r="V41" s="208"/>
      <c r="W41" s="208"/>
      <c r="X41" s="208"/>
      <c r="Y41" s="208"/>
      <c r="Z41" s="208"/>
      <c r="AA41" s="208"/>
      <c r="AB41" s="208"/>
      <c r="AC41" s="208"/>
      <c r="AD41" s="208"/>
      <c r="AE41" s="208"/>
      <c r="AF41" s="208"/>
      <c r="AG41" s="204"/>
    </row>
    <row r="42" spans="2:33">
      <c r="B42" s="210" t="s">
        <v>433</v>
      </c>
      <c r="C42" s="11"/>
      <c r="D42" s="11"/>
      <c r="E42" s="204">
        <f>SUM(E34:E38)</f>
        <v>114</v>
      </c>
      <c r="F42" s="11"/>
      <c r="G42" s="171"/>
      <c r="H42" s="170"/>
      <c r="I42" s="171"/>
      <c r="J42" s="172"/>
      <c r="K42" s="171"/>
      <c r="L42" s="172"/>
      <c r="M42" s="171"/>
      <c r="N42" s="172"/>
      <c r="O42" s="171"/>
      <c r="P42" s="172"/>
      <c r="Q42" s="171"/>
      <c r="R42" s="172"/>
      <c r="S42" s="171"/>
      <c r="T42" s="211"/>
      <c r="U42" s="170"/>
      <c r="V42" s="171"/>
      <c r="W42" s="172"/>
      <c r="X42" s="171"/>
      <c r="Y42" s="172"/>
      <c r="Z42" s="171"/>
      <c r="AA42" s="172"/>
      <c r="AB42" s="171"/>
      <c r="AC42" s="172"/>
      <c r="AD42" s="171"/>
      <c r="AE42" s="172"/>
      <c r="AF42" s="171"/>
      <c r="AG42" s="46"/>
    </row>
    <row r="43" spans="2:33">
      <c r="B43" s="165"/>
      <c r="C43" s="212"/>
      <c r="E43" s="212"/>
      <c r="G43" s="177" t="s">
        <v>226</v>
      </c>
      <c r="H43" s="184"/>
      <c r="I43" s="177" t="s">
        <v>226</v>
      </c>
      <c r="J43" s="178"/>
      <c r="K43" s="177" t="s">
        <v>226</v>
      </c>
      <c r="L43" s="178"/>
      <c r="M43" s="177" t="s">
        <v>226</v>
      </c>
      <c r="N43" s="178"/>
      <c r="O43" s="177" t="s">
        <v>226</v>
      </c>
      <c r="P43" s="178"/>
      <c r="Q43" s="177" t="s">
        <v>226</v>
      </c>
      <c r="R43" s="178"/>
      <c r="S43" s="177" t="s">
        <v>226</v>
      </c>
      <c r="T43" s="213"/>
      <c r="U43" s="184"/>
      <c r="V43" s="177" t="s">
        <v>226</v>
      </c>
      <c r="W43" s="178"/>
      <c r="X43" s="177" t="s">
        <v>226</v>
      </c>
      <c r="Y43" s="178"/>
      <c r="Z43" s="177" t="s">
        <v>226</v>
      </c>
      <c r="AA43" s="178"/>
      <c r="AB43" s="177" t="s">
        <v>226</v>
      </c>
      <c r="AC43" s="178"/>
      <c r="AD43" s="177" t="s">
        <v>226</v>
      </c>
      <c r="AE43" s="178"/>
      <c r="AF43" s="177" t="s">
        <v>226</v>
      </c>
      <c r="AG43" s="185"/>
    </row>
    <row r="44" spans="2:33">
      <c r="B44" s="165"/>
      <c r="C44" s="11"/>
      <c r="E44" s="11">
        <v>150</v>
      </c>
      <c r="G44" s="177"/>
      <c r="H44" s="184"/>
      <c r="I44" s="177"/>
      <c r="J44" s="178"/>
      <c r="K44" s="177"/>
      <c r="L44" s="178"/>
      <c r="M44" s="177"/>
      <c r="N44" s="178"/>
      <c r="O44" s="177"/>
      <c r="P44" s="178"/>
      <c r="Q44" s="177"/>
      <c r="R44" s="178"/>
      <c r="S44" s="177"/>
      <c r="T44" s="213"/>
      <c r="U44" s="184"/>
      <c r="V44" s="177"/>
      <c r="W44" s="178"/>
      <c r="X44" s="177"/>
      <c r="Y44" s="178"/>
      <c r="Z44" s="177"/>
      <c r="AA44" s="178"/>
      <c r="AB44" s="177"/>
      <c r="AC44" s="178"/>
      <c r="AD44" s="177"/>
      <c r="AE44" s="178"/>
      <c r="AF44" s="177"/>
      <c r="AG44" s="185"/>
    </row>
    <row r="45" spans="2:33">
      <c r="B45" s="165"/>
      <c r="C45" s="11"/>
      <c r="E45" s="11"/>
      <c r="G45" s="177" t="s">
        <v>226</v>
      </c>
      <c r="H45" s="184"/>
      <c r="I45" s="177" t="s">
        <v>226</v>
      </c>
      <c r="J45" s="178"/>
      <c r="K45" s="177" t="s">
        <v>226</v>
      </c>
      <c r="L45" s="178"/>
      <c r="M45" s="177" t="s">
        <v>226</v>
      </c>
      <c r="N45" s="178"/>
      <c r="O45" s="177" t="s">
        <v>226</v>
      </c>
      <c r="P45" s="178"/>
      <c r="Q45" s="177" t="s">
        <v>226</v>
      </c>
      <c r="R45" s="178"/>
      <c r="S45" s="177" t="s">
        <v>226</v>
      </c>
      <c r="T45" s="213"/>
      <c r="U45" s="184"/>
      <c r="V45" s="177" t="s">
        <v>226</v>
      </c>
      <c r="W45" s="178"/>
      <c r="X45" s="177" t="s">
        <v>226</v>
      </c>
      <c r="Y45" s="178"/>
      <c r="Z45" s="177" t="s">
        <v>226</v>
      </c>
      <c r="AA45" s="178"/>
      <c r="AB45" s="177" t="s">
        <v>226</v>
      </c>
      <c r="AC45" s="178"/>
      <c r="AD45" s="177" t="s">
        <v>226</v>
      </c>
      <c r="AE45" s="178"/>
      <c r="AF45" s="177" t="s">
        <v>226</v>
      </c>
      <c r="AG45" s="185"/>
    </row>
    <row r="46" spans="2:33">
      <c r="B46" s="165"/>
      <c r="C46" s="11"/>
      <c r="E46" s="11">
        <v>150</v>
      </c>
      <c r="G46" s="177"/>
      <c r="H46" s="184"/>
      <c r="I46" s="177"/>
      <c r="J46" s="178"/>
      <c r="K46" s="177"/>
      <c r="L46" s="178"/>
      <c r="M46" s="177"/>
      <c r="N46" s="178"/>
      <c r="O46" s="177"/>
      <c r="P46" s="178"/>
      <c r="Q46" s="177"/>
      <c r="R46" s="178"/>
      <c r="S46" s="177"/>
      <c r="T46" s="213"/>
      <c r="U46" s="184"/>
      <c r="V46" s="177"/>
      <c r="W46" s="178"/>
      <c r="X46" s="177"/>
      <c r="Y46" s="178"/>
      <c r="Z46" s="177"/>
      <c r="AA46" s="178"/>
      <c r="AB46" s="177"/>
      <c r="AC46" s="178"/>
      <c r="AD46" s="177"/>
      <c r="AE46" s="178"/>
      <c r="AF46" s="177"/>
      <c r="AG46" s="185"/>
    </row>
    <row r="47" spans="2:33">
      <c r="B47" s="165"/>
      <c r="C47" s="11"/>
      <c r="D47" s="15">
        <f>SUM(E42:E46)</f>
        <v>414</v>
      </c>
      <c r="E47" s="11"/>
      <c r="G47" s="179" t="s">
        <v>413</v>
      </c>
      <c r="H47" s="184"/>
      <c r="I47" s="177" t="s">
        <v>226</v>
      </c>
      <c r="J47" s="178"/>
      <c r="K47" s="177" t="s">
        <v>226</v>
      </c>
      <c r="L47" s="178"/>
      <c r="M47" s="179" t="s">
        <v>413</v>
      </c>
      <c r="N47" s="178"/>
      <c r="O47" s="177" t="s">
        <v>226</v>
      </c>
      <c r="P47" s="178"/>
      <c r="Q47" s="177" t="s">
        <v>226</v>
      </c>
      <c r="R47" s="178"/>
      <c r="S47" s="179" t="s">
        <v>413</v>
      </c>
      <c r="T47" s="213"/>
      <c r="U47" s="184"/>
      <c r="V47" s="177" t="s">
        <v>226</v>
      </c>
      <c r="W47" s="178"/>
      <c r="X47" s="177" t="s">
        <v>226</v>
      </c>
      <c r="Y47" s="178"/>
      <c r="Z47" s="179" t="s">
        <v>413</v>
      </c>
      <c r="AA47" s="178"/>
      <c r="AB47" s="177" t="s">
        <v>226</v>
      </c>
      <c r="AC47" s="178"/>
      <c r="AD47" s="177" t="s">
        <v>226</v>
      </c>
      <c r="AE47" s="178"/>
      <c r="AF47" s="179" t="s">
        <v>413</v>
      </c>
      <c r="AG47" s="185"/>
    </row>
    <row r="48" spans="2:33">
      <c r="B48" s="165"/>
      <c r="C48" s="11"/>
      <c r="E48" s="11">
        <v>150</v>
      </c>
      <c r="G48" s="177"/>
      <c r="H48" s="184"/>
      <c r="I48" s="177"/>
      <c r="J48" s="178"/>
      <c r="K48" s="177"/>
      <c r="L48" s="178"/>
      <c r="M48" s="177"/>
      <c r="N48" s="178"/>
      <c r="O48" s="177"/>
      <c r="P48" s="178"/>
      <c r="Q48" s="177"/>
      <c r="R48" s="178"/>
      <c r="S48" s="177"/>
      <c r="T48" s="213"/>
      <c r="U48" s="184"/>
      <c r="V48" s="177"/>
      <c r="W48" s="178"/>
      <c r="X48" s="177"/>
      <c r="Y48" s="178"/>
      <c r="Z48" s="177"/>
      <c r="AA48" s="178"/>
      <c r="AB48" s="177"/>
      <c r="AC48" s="178"/>
      <c r="AD48" s="177"/>
      <c r="AE48" s="178"/>
      <c r="AF48" s="177"/>
      <c r="AG48" s="185"/>
    </row>
    <row r="49" spans="2:33">
      <c r="B49" s="165"/>
      <c r="C49" s="11"/>
      <c r="E49" s="11"/>
      <c r="G49" s="177" t="s">
        <v>226</v>
      </c>
      <c r="H49" s="184"/>
      <c r="I49" s="177" t="s">
        <v>226</v>
      </c>
      <c r="J49" s="178"/>
      <c r="K49" s="177" t="s">
        <v>226</v>
      </c>
      <c r="L49" s="178"/>
      <c r="M49" s="177" t="s">
        <v>226</v>
      </c>
      <c r="N49" s="178"/>
      <c r="O49" s="177" t="s">
        <v>226</v>
      </c>
      <c r="P49" s="178"/>
      <c r="Q49" s="177" t="s">
        <v>226</v>
      </c>
      <c r="R49" s="178"/>
      <c r="S49" s="177" t="s">
        <v>226</v>
      </c>
      <c r="T49" s="213"/>
      <c r="U49" s="184"/>
      <c r="V49" s="177" t="s">
        <v>226</v>
      </c>
      <c r="W49" s="178"/>
      <c r="X49" s="177" t="s">
        <v>226</v>
      </c>
      <c r="Y49" s="178"/>
      <c r="Z49" s="177" t="s">
        <v>226</v>
      </c>
      <c r="AA49" s="178"/>
      <c r="AB49" s="177" t="s">
        <v>226</v>
      </c>
      <c r="AC49" s="178"/>
      <c r="AD49" s="177" t="s">
        <v>226</v>
      </c>
      <c r="AE49" s="178"/>
      <c r="AF49" s="177" t="s">
        <v>226</v>
      </c>
      <c r="AG49" s="185"/>
    </row>
    <row r="50" spans="2:33">
      <c r="B50" s="165"/>
      <c r="C50" s="11"/>
      <c r="E50" s="11">
        <v>150</v>
      </c>
      <c r="G50" s="177"/>
      <c r="H50" s="184"/>
      <c r="I50" s="177"/>
      <c r="J50" s="178"/>
      <c r="K50" s="177"/>
      <c r="L50" s="178"/>
      <c r="M50" s="177"/>
      <c r="N50" s="178"/>
      <c r="O50" s="177"/>
      <c r="P50" s="178"/>
      <c r="Q50" s="177"/>
      <c r="R50" s="178"/>
      <c r="S50" s="177"/>
      <c r="T50" s="213"/>
      <c r="U50" s="184"/>
      <c r="V50" s="177"/>
      <c r="W50" s="178"/>
      <c r="X50" s="177"/>
      <c r="Y50" s="178"/>
      <c r="Z50" s="177"/>
      <c r="AA50" s="178"/>
      <c r="AB50" s="177"/>
      <c r="AC50" s="178"/>
      <c r="AD50" s="177"/>
      <c r="AE50" s="178"/>
      <c r="AF50" s="177"/>
      <c r="AG50" s="185"/>
    </row>
    <row r="51" spans="2:33">
      <c r="B51" s="165"/>
      <c r="C51" s="11"/>
      <c r="E51" s="11"/>
      <c r="G51" s="177" t="s">
        <v>226</v>
      </c>
      <c r="H51" s="184"/>
      <c r="I51" s="177" t="s">
        <v>226</v>
      </c>
      <c r="J51" s="178"/>
      <c r="K51" s="177" t="s">
        <v>226</v>
      </c>
      <c r="L51" s="178"/>
      <c r="M51" s="177" t="s">
        <v>226</v>
      </c>
      <c r="N51" s="178"/>
      <c r="O51" s="177" t="s">
        <v>226</v>
      </c>
      <c r="P51" s="178"/>
      <c r="Q51" s="177" t="s">
        <v>226</v>
      </c>
      <c r="R51" s="178"/>
      <c r="S51" s="177" t="s">
        <v>226</v>
      </c>
      <c r="T51" s="213"/>
      <c r="U51" s="184"/>
      <c r="V51" s="177" t="s">
        <v>226</v>
      </c>
      <c r="W51" s="178"/>
      <c r="X51" s="177" t="s">
        <v>226</v>
      </c>
      <c r="Y51" s="178"/>
      <c r="Z51" s="177" t="s">
        <v>226</v>
      </c>
      <c r="AA51" s="178"/>
      <c r="AB51" s="177" t="s">
        <v>226</v>
      </c>
      <c r="AC51" s="178"/>
      <c r="AD51" s="177" t="s">
        <v>226</v>
      </c>
      <c r="AE51" s="178"/>
      <c r="AF51" s="177" t="s">
        <v>226</v>
      </c>
      <c r="AG51" s="185"/>
    </row>
    <row r="52" spans="2:33">
      <c r="B52" s="165"/>
      <c r="C52" s="11"/>
      <c r="E52" s="11">
        <v>150</v>
      </c>
      <c r="G52" s="177"/>
      <c r="H52" s="184"/>
      <c r="I52" s="177"/>
      <c r="J52" s="178"/>
      <c r="K52" s="177"/>
      <c r="L52" s="178"/>
      <c r="M52" s="177"/>
      <c r="N52" s="178"/>
      <c r="O52" s="177"/>
      <c r="P52" s="178"/>
      <c r="Q52" s="177"/>
      <c r="R52" s="178"/>
      <c r="S52" s="177"/>
      <c r="T52" s="213"/>
      <c r="U52" s="184"/>
      <c r="V52" s="177"/>
      <c r="W52" s="178"/>
      <c r="X52" s="177"/>
      <c r="Y52" s="178"/>
      <c r="Z52" s="177"/>
      <c r="AA52" s="178"/>
      <c r="AB52" s="177"/>
      <c r="AC52" s="178"/>
      <c r="AD52" s="177"/>
      <c r="AE52" s="178"/>
      <c r="AF52" s="177"/>
      <c r="AG52" s="185"/>
    </row>
    <row r="53" spans="2:33">
      <c r="B53" s="165"/>
      <c r="C53" s="11"/>
      <c r="D53" s="15">
        <f>SUM(E48:E52)</f>
        <v>450</v>
      </c>
      <c r="E53" s="11"/>
      <c r="G53" s="180" t="s">
        <v>412</v>
      </c>
      <c r="H53" s="184"/>
      <c r="I53" s="177" t="s">
        <v>226</v>
      </c>
      <c r="J53" s="178"/>
      <c r="K53" s="177" t="s">
        <v>226</v>
      </c>
      <c r="L53" s="178"/>
      <c r="M53" s="179" t="s">
        <v>413</v>
      </c>
      <c r="N53" s="178"/>
      <c r="O53" s="177" t="s">
        <v>226</v>
      </c>
      <c r="P53" s="178"/>
      <c r="Q53" s="177" t="s">
        <v>226</v>
      </c>
      <c r="R53" s="178"/>
      <c r="S53" s="180" t="s">
        <v>412</v>
      </c>
      <c r="T53" s="213"/>
      <c r="U53" s="184"/>
      <c r="V53" s="177" t="s">
        <v>226</v>
      </c>
      <c r="W53" s="178"/>
      <c r="X53" s="177" t="s">
        <v>226</v>
      </c>
      <c r="Y53" s="178"/>
      <c r="Z53" s="179" t="s">
        <v>413</v>
      </c>
      <c r="AA53" s="178"/>
      <c r="AB53" s="177" t="s">
        <v>226</v>
      </c>
      <c r="AC53" s="178"/>
      <c r="AD53" s="177" t="s">
        <v>226</v>
      </c>
      <c r="AE53" s="178"/>
      <c r="AF53" s="180" t="s">
        <v>412</v>
      </c>
      <c r="AG53" s="185"/>
    </row>
    <row r="54" spans="2:33">
      <c r="B54" s="165"/>
      <c r="C54" s="11"/>
      <c r="E54" s="11">
        <v>150</v>
      </c>
      <c r="G54" s="177"/>
      <c r="H54" s="184"/>
      <c r="I54" s="177"/>
      <c r="J54" s="178"/>
      <c r="K54" s="177"/>
      <c r="L54" s="178"/>
      <c r="M54" s="177"/>
      <c r="N54" s="178"/>
      <c r="O54" s="177"/>
      <c r="P54" s="178"/>
      <c r="Q54" s="177"/>
      <c r="R54" s="178"/>
      <c r="S54" s="177"/>
      <c r="T54" s="213"/>
      <c r="U54" s="184"/>
      <c r="V54" s="177"/>
      <c r="W54" s="178"/>
      <c r="X54" s="177"/>
      <c r="Y54" s="178"/>
      <c r="Z54" s="177"/>
      <c r="AA54" s="178"/>
      <c r="AB54" s="177"/>
      <c r="AC54" s="178"/>
      <c r="AD54" s="177"/>
      <c r="AE54" s="178"/>
      <c r="AF54" s="177"/>
      <c r="AG54" s="185"/>
    </row>
    <row r="55" spans="2:33">
      <c r="B55" s="165"/>
      <c r="C55" s="11"/>
      <c r="E55" s="11"/>
      <c r="G55" s="177" t="s">
        <v>226</v>
      </c>
      <c r="H55" s="214"/>
      <c r="I55" s="177" t="s">
        <v>226</v>
      </c>
      <c r="J55" s="178"/>
      <c r="K55" s="177" t="s">
        <v>226</v>
      </c>
      <c r="L55" s="178"/>
      <c r="M55" s="177" t="s">
        <v>226</v>
      </c>
      <c r="N55" s="178"/>
      <c r="O55" s="177" t="s">
        <v>226</v>
      </c>
      <c r="P55" s="178"/>
      <c r="Q55" s="177" t="s">
        <v>226</v>
      </c>
      <c r="R55" s="178"/>
      <c r="S55" s="177" t="s">
        <v>226</v>
      </c>
      <c r="T55" s="213"/>
      <c r="U55" s="214"/>
      <c r="V55" s="177" t="s">
        <v>226</v>
      </c>
      <c r="W55" s="178"/>
      <c r="X55" s="177" t="s">
        <v>226</v>
      </c>
      <c r="Y55" s="178"/>
      <c r="Z55" s="177" t="s">
        <v>226</v>
      </c>
      <c r="AA55" s="178"/>
      <c r="AB55" s="177" t="s">
        <v>226</v>
      </c>
      <c r="AC55" s="178"/>
      <c r="AD55" s="177" t="s">
        <v>226</v>
      </c>
      <c r="AE55" s="178"/>
      <c r="AF55" s="177" t="s">
        <v>226</v>
      </c>
      <c r="AG55" s="215"/>
    </row>
    <row r="57" spans="2:33" ht="17.25">
      <c r="E57" s="11"/>
      <c r="F57" s="11"/>
      <c r="G57" s="34" t="s">
        <v>434</v>
      </c>
      <c r="H57" s="34"/>
      <c r="I57" s="34"/>
      <c r="J57" s="34" t="s">
        <v>435</v>
      </c>
      <c r="K57" s="34"/>
      <c r="L57" s="34"/>
      <c r="M57" s="34"/>
      <c r="N57" s="34" t="s">
        <v>436</v>
      </c>
      <c r="O57" s="34"/>
      <c r="P57" s="34"/>
      <c r="Q57" s="34" t="s">
        <v>787</v>
      </c>
      <c r="R57" s="34"/>
      <c r="S57" s="34"/>
      <c r="T57" s="34"/>
      <c r="U57" s="34" t="s">
        <v>788</v>
      </c>
      <c r="V57" s="34" t="s">
        <v>437</v>
      </c>
    </row>
    <row r="58" spans="2:33" ht="17.25">
      <c r="E58" s="680" t="s">
        <v>438</v>
      </c>
      <c r="F58" s="681"/>
      <c r="G58" s="11" t="s">
        <v>583</v>
      </c>
      <c r="H58" s="11"/>
      <c r="I58" s="11"/>
      <c r="J58" s="11" t="s">
        <v>644</v>
      </c>
      <c r="K58" s="11"/>
      <c r="L58" s="11"/>
      <c r="M58" s="11"/>
      <c r="N58" s="11"/>
      <c r="O58" s="11"/>
      <c r="P58" s="11"/>
      <c r="Q58" s="11"/>
      <c r="R58" s="11"/>
      <c r="S58" s="11"/>
      <c r="T58" s="11"/>
      <c r="U58" s="11">
        <f>+D56*H17*3</f>
        <v>0</v>
      </c>
      <c r="V58" s="11"/>
    </row>
    <row r="59" spans="2:33" ht="17.25">
      <c r="E59" s="680" t="s">
        <v>439</v>
      </c>
      <c r="F59" s="681"/>
      <c r="G59" s="11" t="s">
        <v>583</v>
      </c>
      <c r="H59" s="11"/>
      <c r="I59" s="11"/>
      <c r="J59" s="11" t="s">
        <v>644</v>
      </c>
      <c r="K59" s="11"/>
      <c r="L59" s="11"/>
      <c r="M59" s="11"/>
      <c r="N59" s="11"/>
      <c r="O59" s="11"/>
      <c r="P59" s="11"/>
      <c r="Q59" s="11"/>
      <c r="R59" s="11"/>
      <c r="S59" s="11"/>
      <c r="T59" s="11"/>
      <c r="U59" s="11"/>
      <c r="V59" s="11"/>
    </row>
    <row r="60" spans="2:33" ht="17.25">
      <c r="E60" s="15" t="s">
        <v>761</v>
      </c>
    </row>
    <row r="61" spans="2:33" ht="17.25">
      <c r="E61" s="475" t="s">
        <v>440</v>
      </c>
      <c r="F61" s="216"/>
      <c r="G61" s="143" t="s">
        <v>584</v>
      </c>
      <c r="H61" s="217"/>
      <c r="I61" s="216"/>
      <c r="J61" s="143" t="s">
        <v>441</v>
      </c>
      <c r="K61" s="217"/>
      <c r="L61" s="217"/>
      <c r="M61" s="216"/>
      <c r="N61" s="11"/>
      <c r="O61" s="11"/>
      <c r="P61" s="11"/>
      <c r="Q61" s="11"/>
      <c r="R61" s="11"/>
      <c r="S61" s="11"/>
      <c r="T61" s="11"/>
      <c r="U61" s="11"/>
      <c r="V61" s="11"/>
    </row>
    <row r="62" spans="2:33" ht="17.25">
      <c r="E62" s="15" t="s">
        <v>645</v>
      </c>
      <c r="H62" s="476">
        <f>91+25</f>
        <v>116</v>
      </c>
    </row>
  </sheetData>
  <mergeCells count="4">
    <mergeCell ref="F4:I4"/>
    <mergeCell ref="E59:F59"/>
    <mergeCell ref="B2:AG2"/>
    <mergeCell ref="E58:F58"/>
  </mergeCells>
  <pageMargins left="0.7" right="0.7" top="0.75" bottom="0.75" header="0.3" footer="0.3"/>
  <ignoredErrors>
    <ignoredError sqref="E33" formulaRange="1"/>
  </ignoredError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1"/>
  <sheetViews>
    <sheetView topLeftCell="A50" workbookViewId="0">
      <selection activeCell="H40" sqref="H40:H41"/>
    </sheetView>
  </sheetViews>
  <sheetFormatPr baseColWidth="10" defaultColWidth="10.7109375" defaultRowHeight="15"/>
  <cols>
    <col min="1" max="1" width="10.7109375" style="15"/>
    <col min="2" max="2" width="11.7109375" style="15" customWidth="1"/>
    <col min="3" max="4" width="10.7109375" style="15"/>
    <col min="5" max="5" width="11.5703125" style="15" customWidth="1"/>
    <col min="6" max="7" width="10.7109375" style="15"/>
    <col min="8" max="8" width="14.42578125" style="15" customWidth="1"/>
    <col min="9" max="16384" width="10.7109375" style="15"/>
  </cols>
  <sheetData>
    <row r="2" spans="2:11">
      <c r="B2" s="686" t="s">
        <v>376</v>
      </c>
      <c r="C2" s="686"/>
      <c r="D2" s="686"/>
      <c r="E2" s="686"/>
      <c r="F2" s="686"/>
      <c r="G2" s="686"/>
      <c r="H2" s="686"/>
      <c r="I2" s="686"/>
      <c r="J2" s="686"/>
    </row>
    <row r="3" spans="2:11">
      <c r="B3" s="386"/>
      <c r="C3" s="386"/>
      <c r="D3" s="386"/>
      <c r="E3" s="386"/>
      <c r="F3" s="386"/>
      <c r="G3" s="386"/>
      <c r="H3" s="386"/>
      <c r="I3" s="386"/>
      <c r="J3" s="386"/>
    </row>
    <row r="4" spans="2:11">
      <c r="B4" s="685" t="s">
        <v>762</v>
      </c>
      <c r="C4" s="685"/>
      <c r="D4" s="685"/>
      <c r="E4" s="685"/>
      <c r="F4" s="685"/>
      <c r="G4" s="685"/>
      <c r="H4" s="685"/>
      <c r="I4" s="685"/>
      <c r="J4" s="685"/>
      <c r="K4" s="35"/>
    </row>
    <row r="5" spans="2:11" ht="15.75" thickBot="1">
      <c r="B5" s="386"/>
      <c r="C5" s="386"/>
      <c r="D5" s="386"/>
      <c r="E5" s="386"/>
      <c r="F5" s="386"/>
      <c r="G5" s="386"/>
      <c r="H5" s="386"/>
      <c r="I5" s="386"/>
      <c r="J5" s="386"/>
    </row>
    <row r="6" spans="2:11" ht="16.899999999999999" customHeight="1">
      <c r="B6" s="219" t="s">
        <v>193</v>
      </c>
      <c r="C6" s="689" t="s">
        <v>763</v>
      </c>
      <c r="D6" s="690"/>
      <c r="E6" s="693" t="s">
        <v>764</v>
      </c>
      <c r="F6" s="693" t="s">
        <v>764</v>
      </c>
      <c r="G6" s="693" t="s">
        <v>254</v>
      </c>
      <c r="H6" s="695" t="s">
        <v>789</v>
      </c>
      <c r="I6" s="695" t="s">
        <v>789</v>
      </c>
      <c r="J6" s="687" t="s">
        <v>790</v>
      </c>
    </row>
    <row r="7" spans="2:11">
      <c r="B7" s="369" t="s">
        <v>377</v>
      </c>
      <c r="C7" s="691"/>
      <c r="D7" s="692"/>
      <c r="E7" s="694"/>
      <c r="F7" s="694"/>
      <c r="G7" s="694"/>
      <c r="H7" s="696"/>
      <c r="I7" s="696"/>
      <c r="J7" s="688"/>
    </row>
    <row r="8" spans="2:11">
      <c r="B8" s="387" t="s">
        <v>515</v>
      </c>
      <c r="C8" s="388"/>
      <c r="D8" s="388"/>
      <c r="E8" s="388">
        <v>3</v>
      </c>
      <c r="F8" s="388">
        <v>4</v>
      </c>
      <c r="G8" s="388">
        <v>100</v>
      </c>
      <c r="H8" s="388">
        <v>300</v>
      </c>
      <c r="I8" s="388">
        <v>400</v>
      </c>
      <c r="J8" s="389">
        <v>500</v>
      </c>
    </row>
    <row r="9" spans="2:11">
      <c r="B9" s="387" t="s">
        <v>378</v>
      </c>
      <c r="C9" s="388"/>
      <c r="D9" s="388"/>
      <c r="E9" s="388">
        <v>4</v>
      </c>
      <c r="F9" s="388">
        <v>5</v>
      </c>
      <c r="G9" s="388">
        <v>100</v>
      </c>
      <c r="H9" s="388">
        <v>400</v>
      </c>
      <c r="I9" s="388">
        <v>500</v>
      </c>
      <c r="J9" s="389">
        <v>500</v>
      </c>
    </row>
    <row r="10" spans="2:11">
      <c r="B10" s="387" t="s">
        <v>379</v>
      </c>
      <c r="C10" s="388"/>
      <c r="D10" s="388"/>
      <c r="E10" s="388">
        <v>5</v>
      </c>
      <c r="F10" s="388">
        <v>6</v>
      </c>
      <c r="G10" s="388">
        <v>200</v>
      </c>
      <c r="H10" s="568">
        <v>1000</v>
      </c>
      <c r="I10" s="568">
        <v>1200</v>
      </c>
      <c r="J10" s="389">
        <v>500</v>
      </c>
    </row>
    <row r="11" spans="2:11">
      <c r="B11" s="387" t="s">
        <v>380</v>
      </c>
      <c r="C11" s="388">
        <v>15</v>
      </c>
      <c r="D11" s="388">
        <v>20</v>
      </c>
      <c r="E11" s="388">
        <v>8</v>
      </c>
      <c r="F11" s="388">
        <v>9</v>
      </c>
      <c r="G11" s="388">
        <v>100</v>
      </c>
      <c r="H11" s="388">
        <v>800</v>
      </c>
      <c r="I11" s="388">
        <v>900</v>
      </c>
      <c r="J11" s="570">
        <v>1000</v>
      </c>
    </row>
    <row r="12" spans="2:11">
      <c r="B12" s="387" t="s">
        <v>381</v>
      </c>
      <c r="C12" s="388">
        <v>20</v>
      </c>
      <c r="D12" s="388">
        <v>25</v>
      </c>
      <c r="E12" s="388">
        <v>9</v>
      </c>
      <c r="F12" s="388">
        <v>10</v>
      </c>
      <c r="G12" s="388">
        <v>100</v>
      </c>
      <c r="H12" s="388">
        <v>900</v>
      </c>
      <c r="I12" s="568">
        <v>1000</v>
      </c>
      <c r="J12" s="570">
        <v>1000</v>
      </c>
    </row>
    <row r="13" spans="2:11">
      <c r="B13" s="387" t="s">
        <v>382</v>
      </c>
      <c r="C13" s="388">
        <v>25</v>
      </c>
      <c r="D13" s="388">
        <v>30</v>
      </c>
      <c r="E13" s="388">
        <v>10</v>
      </c>
      <c r="F13" s="388">
        <v>11</v>
      </c>
      <c r="G13" s="388">
        <v>100</v>
      </c>
      <c r="H13" s="568">
        <v>1000</v>
      </c>
      <c r="I13" s="568">
        <v>1100</v>
      </c>
      <c r="J13" s="570">
        <v>1000</v>
      </c>
    </row>
    <row r="14" spans="2:11" s="16" customFormat="1" ht="15.75" thickBot="1">
      <c r="B14" s="477" t="s">
        <v>151</v>
      </c>
      <c r="C14" s="407"/>
      <c r="D14" s="407"/>
      <c r="E14" s="407"/>
      <c r="F14" s="407"/>
      <c r="G14" s="407">
        <v>700</v>
      </c>
      <c r="H14" s="569">
        <v>4400</v>
      </c>
      <c r="I14" s="569">
        <v>5100</v>
      </c>
      <c r="J14" s="408"/>
    </row>
    <row r="15" spans="2:11" ht="15.75" thickBot="1">
      <c r="B15" s="390"/>
      <c r="C15" s="390"/>
      <c r="D15" s="390"/>
      <c r="E15" s="390"/>
      <c r="F15" s="390"/>
      <c r="G15" s="390"/>
      <c r="H15" s="390"/>
      <c r="I15" s="390"/>
      <c r="J15" s="390"/>
    </row>
    <row r="16" spans="2:11">
      <c r="B16" s="439" t="s">
        <v>383</v>
      </c>
      <c r="C16" s="478" t="s">
        <v>791</v>
      </c>
      <c r="D16" s="478" t="s">
        <v>254</v>
      </c>
      <c r="E16" s="479" t="s">
        <v>207</v>
      </c>
      <c r="F16" s="390"/>
      <c r="G16" s="390"/>
      <c r="H16" s="390"/>
      <c r="I16" s="390"/>
      <c r="J16" s="390"/>
    </row>
    <row r="17" spans="2:10" ht="15.75" thickBot="1">
      <c r="B17" s="393" t="s">
        <v>384</v>
      </c>
      <c r="C17" s="394">
        <v>1.5</v>
      </c>
      <c r="D17" s="394">
        <v>600</v>
      </c>
      <c r="E17" s="395">
        <v>900</v>
      </c>
      <c r="F17" s="390"/>
      <c r="G17" s="390"/>
      <c r="H17" s="390"/>
      <c r="I17" s="390"/>
      <c r="J17" s="390"/>
    </row>
    <row r="18" spans="2:10" ht="15.75" thickBot="1">
      <c r="B18" s="390"/>
      <c r="C18" s="390"/>
      <c r="D18" s="390"/>
      <c r="E18" s="390"/>
      <c r="F18" s="390"/>
      <c r="G18" s="390"/>
      <c r="H18" s="390"/>
      <c r="I18" s="390"/>
      <c r="J18" s="390"/>
    </row>
    <row r="19" spans="2:10" ht="15.75" thickBot="1">
      <c r="B19" s="396" t="s">
        <v>385</v>
      </c>
      <c r="C19" s="397"/>
      <c r="D19" s="397"/>
      <c r="E19" s="397"/>
      <c r="F19" s="397"/>
      <c r="G19" s="397"/>
      <c r="H19" s="397"/>
      <c r="I19" s="440" t="s">
        <v>514</v>
      </c>
      <c r="J19" s="398"/>
    </row>
    <row r="20" spans="2:10">
      <c r="B20" s="391" t="s">
        <v>386</v>
      </c>
      <c r="C20" s="392"/>
      <c r="D20" s="390"/>
      <c r="E20" s="390"/>
      <c r="F20" s="390"/>
      <c r="G20" s="390"/>
      <c r="H20" s="390"/>
      <c r="I20" s="571">
        <v>5100</v>
      </c>
      <c r="J20" s="390"/>
    </row>
    <row r="21" spans="2:10">
      <c r="B21" s="387" t="s">
        <v>387</v>
      </c>
      <c r="C21" s="399"/>
      <c r="D21" s="390"/>
      <c r="E21" s="390"/>
      <c r="F21" s="390"/>
      <c r="G21" s="390"/>
      <c r="H21" s="390"/>
      <c r="I21" s="572">
        <v>1426</v>
      </c>
      <c r="J21" s="390"/>
    </row>
    <row r="22" spans="2:10" ht="15.75" thickBot="1">
      <c r="B22" s="393" t="s">
        <v>388</v>
      </c>
      <c r="C22" s="395"/>
      <c r="D22" s="390"/>
      <c r="E22" s="390"/>
      <c r="F22" s="390"/>
      <c r="G22" s="390"/>
      <c r="H22" s="390"/>
      <c r="I22" s="573">
        <v>3674</v>
      </c>
      <c r="J22" s="390"/>
    </row>
    <row r="23" spans="2:10" ht="15.75" thickBot="1"/>
    <row r="24" spans="2:10" ht="45">
      <c r="D24" s="339" t="s">
        <v>765</v>
      </c>
      <c r="E24" s="340" t="s">
        <v>766</v>
      </c>
      <c r="F24" s="341" t="s">
        <v>389</v>
      </c>
    </row>
    <row r="25" spans="2:10">
      <c r="D25" s="284">
        <v>2.2000000000000002</v>
      </c>
      <c r="E25" s="49">
        <v>0.5</v>
      </c>
      <c r="F25" s="285">
        <f>+D25/E25</f>
        <v>4.4000000000000004</v>
      </c>
    </row>
    <row r="26" spans="2:10">
      <c r="D26" s="284">
        <v>1.1000000000000001</v>
      </c>
      <c r="E26" s="49">
        <v>1.1000000000000001</v>
      </c>
      <c r="F26" s="285">
        <f t="shared" ref="F26:F28" si="0">+D26/E26</f>
        <v>1</v>
      </c>
    </row>
    <row r="27" spans="2:10">
      <c r="D27" s="284">
        <v>0.55000000000000004</v>
      </c>
      <c r="E27" s="49">
        <v>6.7</v>
      </c>
      <c r="F27" s="285">
        <f t="shared" si="0"/>
        <v>8.2089552238805971E-2</v>
      </c>
    </row>
    <row r="28" spans="2:10" ht="15.75" thickBot="1">
      <c r="D28" s="286">
        <v>1.1000000000000001E-3</v>
      </c>
      <c r="E28" s="287">
        <v>27</v>
      </c>
      <c r="F28" s="288">
        <f t="shared" si="0"/>
        <v>4.0740740740740745E-5</v>
      </c>
    </row>
    <row r="31" spans="2:10" ht="31.15" customHeight="1">
      <c r="C31" s="683" t="s">
        <v>506</v>
      </c>
      <c r="D31" s="684"/>
      <c r="E31" s="684"/>
      <c r="F31" s="684"/>
      <c r="G31" s="684"/>
      <c r="H31" s="684"/>
    </row>
    <row r="32" spans="2:10" ht="15.75" thickBot="1"/>
    <row r="33" spans="3:8" ht="30.75" thickBot="1">
      <c r="C33" s="242" t="s">
        <v>502</v>
      </c>
      <c r="D33" s="362" t="s">
        <v>395</v>
      </c>
      <c r="E33" s="362" t="s">
        <v>218</v>
      </c>
      <c r="F33" s="362" t="s">
        <v>396</v>
      </c>
      <c r="G33" s="367"/>
      <c r="H33" s="364" t="s">
        <v>397</v>
      </c>
    </row>
    <row r="34" spans="3:8" ht="17.25">
      <c r="C34" s="243" t="s">
        <v>287</v>
      </c>
      <c r="D34" s="363" t="s">
        <v>571</v>
      </c>
      <c r="E34" s="363" t="s">
        <v>9</v>
      </c>
      <c r="F34" s="363" t="s">
        <v>572</v>
      </c>
      <c r="G34" s="218"/>
      <c r="H34" s="617" t="s">
        <v>795</v>
      </c>
    </row>
    <row r="35" spans="3:8">
      <c r="C35" s="283" t="s">
        <v>153</v>
      </c>
      <c r="D35" s="559">
        <v>8000</v>
      </c>
      <c r="E35" s="400">
        <v>0.1</v>
      </c>
      <c r="F35" s="401" t="s">
        <v>398</v>
      </c>
      <c r="G35" s="11"/>
      <c r="H35" s="402">
        <f>+D35*E35</f>
        <v>800</v>
      </c>
    </row>
    <row r="36" spans="3:8" ht="30">
      <c r="C36" s="283" t="s">
        <v>184</v>
      </c>
      <c r="D36" s="559">
        <v>10000</v>
      </c>
      <c r="E36" s="400">
        <v>0.1</v>
      </c>
      <c r="F36" s="400" t="s">
        <v>399</v>
      </c>
      <c r="G36" s="11"/>
      <c r="H36" s="575">
        <f t="shared" ref="H35:H41" si="1">+D36*E36</f>
        <v>1000</v>
      </c>
    </row>
    <row r="37" spans="3:8" ht="30">
      <c r="C37" s="283" t="s">
        <v>195</v>
      </c>
      <c r="D37" s="559">
        <v>2000</v>
      </c>
      <c r="E37" s="400">
        <v>0.1</v>
      </c>
      <c r="F37" s="400" t="s">
        <v>400</v>
      </c>
      <c r="G37" s="11"/>
      <c r="H37" s="402">
        <f t="shared" si="1"/>
        <v>200</v>
      </c>
    </row>
    <row r="38" spans="3:8">
      <c r="C38" s="283" t="s">
        <v>3</v>
      </c>
      <c r="D38" s="559">
        <v>1500</v>
      </c>
      <c r="E38" s="400">
        <v>0.1</v>
      </c>
      <c r="F38" s="400" t="s">
        <v>401</v>
      </c>
      <c r="G38" s="11"/>
      <c r="H38" s="402">
        <f t="shared" si="1"/>
        <v>150</v>
      </c>
    </row>
    <row r="39" spans="3:8" ht="30">
      <c r="C39" s="283" t="s">
        <v>402</v>
      </c>
      <c r="D39" s="559">
        <v>1000</v>
      </c>
      <c r="E39" s="400">
        <v>0.1</v>
      </c>
      <c r="F39" s="400" t="s">
        <v>403</v>
      </c>
      <c r="G39" s="11"/>
      <c r="H39" s="402">
        <f t="shared" si="1"/>
        <v>100</v>
      </c>
    </row>
    <row r="40" spans="3:8">
      <c r="C40" s="283" t="s">
        <v>210</v>
      </c>
      <c r="D40" s="400">
        <v>500</v>
      </c>
      <c r="E40" s="400">
        <v>0.1</v>
      </c>
      <c r="F40" s="400" t="s">
        <v>404</v>
      </c>
      <c r="G40" s="11"/>
      <c r="H40" s="402">
        <f t="shared" si="1"/>
        <v>50</v>
      </c>
    </row>
    <row r="41" spans="3:8" ht="30">
      <c r="C41" s="283" t="s">
        <v>405</v>
      </c>
      <c r="D41" s="400">
        <v>500</v>
      </c>
      <c r="E41" s="400"/>
      <c r="F41" s="400" t="s">
        <v>403</v>
      </c>
      <c r="G41" s="11"/>
      <c r="H41" s="402">
        <f t="shared" si="1"/>
        <v>0</v>
      </c>
    </row>
    <row r="42" spans="3:8" ht="45">
      <c r="C42" s="104" t="s">
        <v>406</v>
      </c>
      <c r="D42" s="574">
        <f>SUM(D35:D41)</f>
        <v>23500</v>
      </c>
      <c r="E42" s="22">
        <f>SUM(E35:E41)</f>
        <v>0.6</v>
      </c>
      <c r="F42" s="403"/>
      <c r="G42" s="11"/>
      <c r="H42" s="576">
        <f>SUM(H35:H41)</f>
        <v>2300</v>
      </c>
    </row>
    <row r="43" spans="3:8" ht="30">
      <c r="C43" s="243" t="s">
        <v>223</v>
      </c>
      <c r="D43" s="368" t="s">
        <v>503</v>
      </c>
      <c r="E43" s="363" t="s">
        <v>507</v>
      </c>
      <c r="F43" s="363" t="s">
        <v>277</v>
      </c>
      <c r="G43" s="363" t="s">
        <v>254</v>
      </c>
      <c r="H43" s="365" t="s">
        <v>286</v>
      </c>
    </row>
    <row r="44" spans="3:8" ht="17.25">
      <c r="C44" s="243" t="s">
        <v>0</v>
      </c>
      <c r="D44" s="480" t="s">
        <v>193</v>
      </c>
      <c r="E44" s="363" t="s">
        <v>573</v>
      </c>
      <c r="F44" s="363" t="s">
        <v>8</v>
      </c>
      <c r="G44" s="363" t="s">
        <v>8</v>
      </c>
      <c r="H44" s="752" t="s">
        <v>795</v>
      </c>
    </row>
    <row r="45" spans="3:8">
      <c r="C45" s="283" t="s">
        <v>230</v>
      </c>
      <c r="D45" s="11">
        <v>300</v>
      </c>
      <c r="E45" s="404">
        <f t="shared" ref="E45:E52" si="2">+D45*2.2/100</f>
        <v>6.6</v>
      </c>
      <c r="F45" s="404">
        <v>1</v>
      </c>
      <c r="G45" s="404">
        <v>365</v>
      </c>
      <c r="H45" s="577">
        <f t="shared" ref="H45:H52" si="3">+E45*F45*G45</f>
        <v>2409</v>
      </c>
    </row>
    <row r="46" spans="3:8">
      <c r="C46" s="283" t="s">
        <v>296</v>
      </c>
      <c r="D46" s="11">
        <v>65</v>
      </c>
      <c r="E46" s="404">
        <f t="shared" si="2"/>
        <v>1.43</v>
      </c>
      <c r="F46" s="404">
        <v>1</v>
      </c>
      <c r="G46" s="404">
        <v>200</v>
      </c>
      <c r="H46" s="405">
        <f t="shared" si="3"/>
        <v>286</v>
      </c>
    </row>
    <row r="47" spans="3:8">
      <c r="C47" s="283" t="s">
        <v>13</v>
      </c>
      <c r="D47" s="11">
        <v>300</v>
      </c>
      <c r="E47" s="404">
        <f t="shared" si="2"/>
        <v>6.6</v>
      </c>
      <c r="F47" s="404">
        <v>1</v>
      </c>
      <c r="G47" s="404">
        <v>365</v>
      </c>
      <c r="H47" s="577">
        <f t="shared" si="3"/>
        <v>2409</v>
      </c>
    </row>
    <row r="48" spans="3:8">
      <c r="C48" s="406" t="s">
        <v>280</v>
      </c>
      <c r="D48" s="11">
        <v>400</v>
      </c>
      <c r="E48" s="404">
        <f t="shared" si="2"/>
        <v>8.8000000000000007</v>
      </c>
      <c r="F48" s="11">
        <v>1</v>
      </c>
      <c r="G48" s="11">
        <v>365</v>
      </c>
      <c r="H48" s="577">
        <f t="shared" si="3"/>
        <v>3212.0000000000005</v>
      </c>
    </row>
    <row r="49" spans="2:8">
      <c r="C49" s="283" t="s">
        <v>15</v>
      </c>
      <c r="D49" s="11">
        <v>25</v>
      </c>
      <c r="E49" s="404">
        <f t="shared" si="2"/>
        <v>0.55000000000000004</v>
      </c>
      <c r="F49" s="404">
        <v>1</v>
      </c>
      <c r="G49" s="404">
        <v>365</v>
      </c>
      <c r="H49" s="405">
        <f t="shared" si="3"/>
        <v>200.75000000000003</v>
      </c>
    </row>
    <row r="50" spans="2:8">
      <c r="C50" s="283" t="s">
        <v>16</v>
      </c>
      <c r="D50" s="11">
        <v>15</v>
      </c>
      <c r="E50" s="404">
        <f t="shared" si="2"/>
        <v>0.33</v>
      </c>
      <c r="F50" s="404">
        <v>1</v>
      </c>
      <c r="G50" s="404">
        <v>365</v>
      </c>
      <c r="H50" s="405">
        <f t="shared" si="3"/>
        <v>120.45</v>
      </c>
    </row>
    <row r="51" spans="2:8">
      <c r="C51" s="283" t="s">
        <v>281</v>
      </c>
      <c r="D51" s="11">
        <v>200</v>
      </c>
      <c r="E51" s="404">
        <f t="shared" si="2"/>
        <v>4.4000000000000004</v>
      </c>
      <c r="F51" s="404">
        <v>1</v>
      </c>
      <c r="G51" s="404">
        <v>365</v>
      </c>
      <c r="H51" s="577">
        <f t="shared" si="3"/>
        <v>1606.0000000000002</v>
      </c>
    </row>
    <row r="52" spans="2:8">
      <c r="C52" s="283" t="s">
        <v>23</v>
      </c>
      <c r="D52" s="11">
        <v>2</v>
      </c>
      <c r="E52" s="404">
        <f t="shared" si="2"/>
        <v>4.4000000000000004E-2</v>
      </c>
      <c r="F52" s="404">
        <v>10</v>
      </c>
      <c r="G52" s="404">
        <v>365</v>
      </c>
      <c r="H52" s="405">
        <f t="shared" si="3"/>
        <v>160.60000000000002</v>
      </c>
    </row>
    <row r="53" spans="2:8" ht="45">
      <c r="C53" s="104" t="s">
        <v>208</v>
      </c>
      <c r="D53" s="11"/>
      <c r="E53" s="129"/>
      <c r="F53" s="129"/>
      <c r="G53" s="129"/>
      <c r="H53" s="578">
        <f>SUM(H45:H52)</f>
        <v>10403.800000000001</v>
      </c>
    </row>
    <row r="54" spans="2:8" ht="30">
      <c r="C54" s="130" t="s">
        <v>407</v>
      </c>
      <c r="D54" s="11"/>
      <c r="E54" s="129"/>
      <c r="F54" s="129"/>
      <c r="G54" s="129"/>
      <c r="H54" s="578">
        <f>+H42-H53</f>
        <v>-8103.8000000000011</v>
      </c>
    </row>
    <row r="55" spans="2:8" ht="17.25">
      <c r="C55" s="316" t="s">
        <v>647</v>
      </c>
      <c r="D55" s="11"/>
      <c r="E55" s="11"/>
      <c r="F55" s="11"/>
      <c r="G55" s="11"/>
      <c r="H55" s="317"/>
    </row>
    <row r="56" spans="2:8">
      <c r="C56" s="47"/>
      <c r="D56" s="47"/>
      <c r="E56" s="47"/>
      <c r="F56" s="47"/>
      <c r="G56" s="47"/>
      <c r="H56" s="47"/>
    </row>
    <row r="57" spans="2:8">
      <c r="B57" s="265"/>
      <c r="C57" s="265" t="s">
        <v>656</v>
      </c>
      <c r="D57" s="265"/>
      <c r="E57" s="265"/>
      <c r="F57" s="265"/>
      <c r="G57" s="265"/>
    </row>
    <row r="58" spans="2:8" ht="17.25">
      <c r="B58" s="35"/>
      <c r="C58" s="15" t="s">
        <v>646</v>
      </c>
    </row>
    <row r="59" spans="2:8">
      <c r="C59" s="15" t="s">
        <v>508</v>
      </c>
    </row>
    <row r="61" spans="2:8">
      <c r="C61" s="15" t="s">
        <v>516</v>
      </c>
    </row>
  </sheetData>
  <mergeCells count="10">
    <mergeCell ref="C31:H31"/>
    <mergeCell ref="B4:J4"/>
    <mergeCell ref="B2:J2"/>
    <mergeCell ref="J6:J7"/>
    <mergeCell ref="C6:D7"/>
    <mergeCell ref="E6:E7"/>
    <mergeCell ref="F6:F7"/>
    <mergeCell ref="G6:G7"/>
    <mergeCell ref="H6:H7"/>
    <mergeCell ref="I6:I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4"/>
  <sheetViews>
    <sheetView topLeftCell="A4" workbookViewId="0">
      <selection activeCell="D8" sqref="D8:H9"/>
    </sheetView>
  </sheetViews>
  <sheetFormatPr baseColWidth="10" defaultRowHeight="15"/>
  <cols>
    <col min="2" max="2" width="13" customWidth="1"/>
    <col min="9" max="9" width="12.42578125" customWidth="1"/>
    <col min="10" max="10" width="22.140625" customWidth="1"/>
  </cols>
  <sheetData>
    <row r="2" spans="2:10">
      <c r="B2" s="628" t="s">
        <v>509</v>
      </c>
      <c r="C2" s="628"/>
      <c r="D2" s="628"/>
      <c r="E2" s="628"/>
      <c r="F2" s="628"/>
      <c r="G2" s="628"/>
      <c r="H2" s="628"/>
      <c r="I2" s="628"/>
      <c r="J2" s="628"/>
    </row>
    <row r="4" spans="2:10">
      <c r="B4" s="700" t="s">
        <v>510</v>
      </c>
      <c r="C4" s="700"/>
      <c r="D4" s="700"/>
      <c r="E4" s="700"/>
      <c r="F4" s="700"/>
      <c r="G4" s="700"/>
      <c r="H4" s="700"/>
      <c r="I4" s="700"/>
      <c r="J4" s="700"/>
    </row>
    <row r="5" spans="2:10" ht="15.75" thickBot="1"/>
    <row r="6" spans="2:10" ht="28.15" customHeight="1">
      <c r="B6" s="668" t="s">
        <v>0</v>
      </c>
      <c r="C6" s="699" t="s">
        <v>1</v>
      </c>
      <c r="D6" s="699" t="s">
        <v>651</v>
      </c>
      <c r="E6" s="699" t="s">
        <v>2</v>
      </c>
      <c r="F6" s="699" t="s">
        <v>3</v>
      </c>
      <c r="G6" s="699" t="s">
        <v>4</v>
      </c>
      <c r="H6" s="699" t="s">
        <v>5</v>
      </c>
      <c r="I6" s="699" t="s">
        <v>6</v>
      </c>
      <c r="J6" s="665" t="s">
        <v>7</v>
      </c>
    </row>
    <row r="7" spans="2:10" ht="19.149999999999999" customHeight="1">
      <c r="B7" s="669"/>
      <c r="C7" s="674"/>
      <c r="D7" s="674"/>
      <c r="E7" s="674"/>
      <c r="F7" s="674"/>
      <c r="G7" s="674"/>
      <c r="H7" s="674"/>
      <c r="I7" s="674"/>
      <c r="J7" s="666"/>
    </row>
    <row r="8" spans="2:10" ht="15" customHeight="1">
      <c r="B8" s="669"/>
      <c r="C8" s="674" t="s">
        <v>8</v>
      </c>
      <c r="D8" s="674" t="s">
        <v>574</v>
      </c>
      <c r="E8" s="674" t="s">
        <v>575</v>
      </c>
      <c r="F8" s="674" t="s">
        <v>9</v>
      </c>
      <c r="G8" s="674" t="s">
        <v>9</v>
      </c>
      <c r="H8" s="674" t="s">
        <v>10</v>
      </c>
      <c r="I8" s="674" t="s">
        <v>792</v>
      </c>
      <c r="J8" s="666"/>
    </row>
    <row r="9" spans="2:10" ht="15" customHeight="1">
      <c r="B9" s="670"/>
      <c r="C9" s="674"/>
      <c r="D9" s="674"/>
      <c r="E9" s="674"/>
      <c r="F9" s="674"/>
      <c r="G9" s="674"/>
      <c r="H9" s="674"/>
      <c r="I9" s="674"/>
      <c r="J9" s="667"/>
    </row>
    <row r="10" spans="2:10" ht="57" customHeight="1">
      <c r="B10" s="703" t="s">
        <v>648</v>
      </c>
      <c r="C10" s="697">
        <v>1</v>
      </c>
      <c r="D10" s="697">
        <f>6*C10</f>
        <v>6</v>
      </c>
      <c r="E10" s="697">
        <f>4.5*C10</f>
        <v>4.5</v>
      </c>
      <c r="F10" s="697">
        <v>0.3</v>
      </c>
      <c r="G10" s="697">
        <f>0.3*C10</f>
        <v>0.3</v>
      </c>
      <c r="H10" s="697">
        <f>10*C10</f>
        <v>10</v>
      </c>
      <c r="I10" s="697" t="s">
        <v>11</v>
      </c>
      <c r="J10" s="701" t="s">
        <v>12</v>
      </c>
    </row>
    <row r="11" spans="2:10">
      <c r="B11" s="704"/>
      <c r="C11" s="697"/>
      <c r="D11" s="697"/>
      <c r="E11" s="697"/>
      <c r="F11" s="697"/>
      <c r="G11" s="697"/>
      <c r="H11" s="697"/>
      <c r="I11" s="697"/>
      <c r="J11" s="701"/>
    </row>
    <row r="12" spans="2:10">
      <c r="B12" s="483" t="s">
        <v>13</v>
      </c>
      <c r="C12" s="382">
        <v>1</v>
      </c>
      <c r="D12" s="382">
        <f>5*C12</f>
        <v>5</v>
      </c>
      <c r="E12" s="382">
        <f>4*C12</f>
        <v>4</v>
      </c>
      <c r="F12" s="382">
        <f>0.3*C12</f>
        <v>0.3</v>
      </c>
      <c r="G12" s="382">
        <f>0.1*C12</f>
        <v>0.1</v>
      </c>
      <c r="H12" s="382">
        <f>8*C12</f>
        <v>8</v>
      </c>
      <c r="I12" s="382" t="s">
        <v>11</v>
      </c>
      <c r="J12" s="57"/>
    </row>
    <row r="13" spans="2:10" ht="32.25">
      <c r="B13" s="483" t="s">
        <v>14</v>
      </c>
      <c r="C13" s="382">
        <v>1</v>
      </c>
      <c r="D13" s="382">
        <f>10*C13</f>
        <v>10</v>
      </c>
      <c r="E13" s="382">
        <f>30*C13</f>
        <v>30</v>
      </c>
      <c r="F13" s="382">
        <f>0.3*C13</f>
        <v>0.3</v>
      </c>
      <c r="G13" s="382">
        <f>0.2*C13</f>
        <v>0.2</v>
      </c>
      <c r="H13" s="382">
        <f>2*C13</f>
        <v>2</v>
      </c>
      <c r="I13" s="382" t="s">
        <v>11</v>
      </c>
      <c r="J13" s="57" t="s">
        <v>652</v>
      </c>
    </row>
    <row r="14" spans="2:10" ht="17.25">
      <c r="B14" s="483" t="s">
        <v>15</v>
      </c>
      <c r="C14" s="382">
        <v>1</v>
      </c>
      <c r="D14" s="382">
        <f>1.5*C14</f>
        <v>1.5</v>
      </c>
      <c r="E14" s="382">
        <f>2.5*C14</f>
        <v>2.5</v>
      </c>
      <c r="F14" s="382">
        <f>0.05*C14</f>
        <v>0.05</v>
      </c>
      <c r="G14" s="382">
        <f>0.05*C14</f>
        <v>0.05</v>
      </c>
      <c r="H14" s="382">
        <f>2*C14</f>
        <v>2</v>
      </c>
      <c r="I14" s="481" t="s">
        <v>24</v>
      </c>
      <c r="J14" s="57" t="s">
        <v>653</v>
      </c>
    </row>
    <row r="15" spans="2:10" ht="17.25">
      <c r="B15" s="483" t="s">
        <v>16</v>
      </c>
      <c r="C15" s="382">
        <v>1</v>
      </c>
      <c r="D15" s="382">
        <f>1.5*C15</f>
        <v>1.5</v>
      </c>
      <c r="E15" s="382">
        <f>2.5*C15</f>
        <v>2.5</v>
      </c>
      <c r="F15" s="382">
        <f>0.03*C15</f>
        <v>0.03</v>
      </c>
      <c r="G15" s="382">
        <f>0.05*C15</f>
        <v>0.05</v>
      </c>
      <c r="H15" s="382">
        <f>2*C15</f>
        <v>2</v>
      </c>
      <c r="I15" s="481" t="s">
        <v>24</v>
      </c>
      <c r="J15" s="57" t="s">
        <v>654</v>
      </c>
    </row>
    <row r="16" spans="2:10">
      <c r="B16" s="483" t="s">
        <v>649</v>
      </c>
      <c r="C16" s="382">
        <v>1</v>
      </c>
      <c r="D16" s="382">
        <f>1.5*C16</f>
        <v>1.5</v>
      </c>
      <c r="E16" s="382">
        <f>1.2*C16</f>
        <v>1.2</v>
      </c>
      <c r="F16" s="382"/>
      <c r="G16" s="382"/>
      <c r="H16" s="382"/>
      <c r="I16" s="382" t="s">
        <v>17</v>
      </c>
      <c r="J16" s="57"/>
    </row>
    <row r="17" spans="2:10">
      <c r="B17" s="483" t="s">
        <v>650</v>
      </c>
      <c r="C17" s="382">
        <v>1</v>
      </c>
      <c r="D17" s="382">
        <v>7.5</v>
      </c>
      <c r="E17" s="382">
        <v>2.5</v>
      </c>
      <c r="F17" s="382"/>
      <c r="G17" s="382"/>
      <c r="H17" s="382"/>
      <c r="I17" s="481" t="s">
        <v>25</v>
      </c>
      <c r="J17" s="57"/>
    </row>
    <row r="18" spans="2:10">
      <c r="B18" s="483" t="s">
        <v>18</v>
      </c>
      <c r="C18" s="382">
        <v>6</v>
      </c>
      <c r="D18" s="482">
        <f>0.17*6</f>
        <v>1.02</v>
      </c>
      <c r="E18" s="382">
        <f>C18*10</f>
        <v>60</v>
      </c>
      <c r="F18" s="382">
        <v>5.0000000000000001E-4</v>
      </c>
      <c r="G18" s="382"/>
      <c r="H18" s="382">
        <v>0.5</v>
      </c>
      <c r="I18" s="382" t="s">
        <v>19</v>
      </c>
      <c r="J18" s="57"/>
    </row>
    <row r="19" spans="2:10">
      <c r="B19" s="483" t="s">
        <v>20</v>
      </c>
      <c r="C19" s="382">
        <v>6</v>
      </c>
      <c r="D19" s="382">
        <v>1</v>
      </c>
      <c r="E19" s="382">
        <f>C19*10</f>
        <v>60</v>
      </c>
      <c r="F19" s="382">
        <v>5.0000000000000001E-4</v>
      </c>
      <c r="G19" s="382"/>
      <c r="H19" s="382">
        <v>0.5</v>
      </c>
      <c r="I19" s="382" t="s">
        <v>19</v>
      </c>
      <c r="J19" s="57"/>
    </row>
    <row r="20" spans="2:10" ht="30">
      <c r="B20" s="483" t="s">
        <v>21</v>
      </c>
      <c r="C20" s="382">
        <v>1</v>
      </c>
      <c r="D20" s="382">
        <f>6*C20</f>
        <v>6</v>
      </c>
      <c r="E20" s="382">
        <f>12*C20</f>
        <v>12</v>
      </c>
      <c r="F20" s="382">
        <f>0.1*C20</f>
        <v>0.1</v>
      </c>
      <c r="G20" s="382">
        <f>0.1*C20</f>
        <v>0.1</v>
      </c>
      <c r="H20" s="382">
        <f>5*C20</f>
        <v>5</v>
      </c>
      <c r="I20" s="382" t="s">
        <v>22</v>
      </c>
      <c r="J20" s="57"/>
    </row>
    <row r="21" spans="2:10" ht="31.9" customHeight="1">
      <c r="B21" s="707" t="s">
        <v>23</v>
      </c>
      <c r="C21" s="697">
        <v>1</v>
      </c>
      <c r="D21" s="697">
        <f>1.6*C21</f>
        <v>1.6</v>
      </c>
      <c r="E21" s="697">
        <f>1.2*C21</f>
        <v>1.2</v>
      </c>
      <c r="F21" s="697">
        <v>1E-3</v>
      </c>
      <c r="G21" s="697">
        <v>1E-3</v>
      </c>
      <c r="H21" s="697">
        <f>1*C21</f>
        <v>1</v>
      </c>
      <c r="I21" s="705" t="s">
        <v>453</v>
      </c>
      <c r="J21" s="701"/>
    </row>
    <row r="22" spans="2:10" ht="15.75" thickBot="1">
      <c r="B22" s="708"/>
      <c r="C22" s="698"/>
      <c r="D22" s="698"/>
      <c r="E22" s="698"/>
      <c r="F22" s="698"/>
      <c r="G22" s="698"/>
      <c r="H22" s="698"/>
      <c r="I22" s="706"/>
      <c r="J22" s="702"/>
    </row>
    <row r="24" spans="2:10">
      <c r="B24" t="s">
        <v>655</v>
      </c>
    </row>
  </sheetData>
  <mergeCells count="36">
    <mergeCell ref="B10:B11"/>
    <mergeCell ref="I21:I22"/>
    <mergeCell ref="I10:I11"/>
    <mergeCell ref="J10:J11"/>
    <mergeCell ref="G10:G11"/>
    <mergeCell ref="B21:B22"/>
    <mergeCell ref="C21:C22"/>
    <mergeCell ref="D21:D22"/>
    <mergeCell ref="J21:J22"/>
    <mergeCell ref="C10:C11"/>
    <mergeCell ref="D10:D11"/>
    <mergeCell ref="E10:E11"/>
    <mergeCell ref="F10:F11"/>
    <mergeCell ref="H10:H11"/>
    <mergeCell ref="B4:J4"/>
    <mergeCell ref="E8:E9"/>
    <mergeCell ref="D8:D9"/>
    <mergeCell ref="F6:F7"/>
    <mergeCell ref="B6:B9"/>
    <mergeCell ref="J6:J9"/>
    <mergeCell ref="E21:E22"/>
    <mergeCell ref="F21:F22"/>
    <mergeCell ref="G21:G22"/>
    <mergeCell ref="H21:H22"/>
    <mergeCell ref="B2:J2"/>
    <mergeCell ref="H6:H7"/>
    <mergeCell ref="I6:I7"/>
    <mergeCell ref="C8:C9"/>
    <mergeCell ref="F8:F9"/>
    <mergeCell ref="G8:G9"/>
    <mergeCell ref="H8:H9"/>
    <mergeCell ref="I8:I9"/>
    <mergeCell ref="C6:C7"/>
    <mergeCell ref="D6:D7"/>
    <mergeCell ref="E6:E7"/>
    <mergeCell ref="G6:G7"/>
  </mergeCells>
  <pageMargins left="0.7" right="0.7" top="0.78740157499999996" bottom="0.78740157499999996" header="0.3" footer="0.3"/>
  <pageSetup paperSize="9" orientation="portrait" r:id="rId1"/>
  <ignoredErrors>
    <ignoredError sqref="I14:I17"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6"/>
  <sheetViews>
    <sheetView topLeftCell="A40" workbookViewId="0">
      <selection activeCell="I32" sqref="I32"/>
    </sheetView>
  </sheetViews>
  <sheetFormatPr baseColWidth="10" defaultColWidth="12.7109375" defaultRowHeight="15"/>
  <cols>
    <col min="1" max="16384" width="12.7109375" style="15"/>
  </cols>
  <sheetData>
    <row r="2" spans="2:8">
      <c r="B2" s="661" t="s">
        <v>146</v>
      </c>
      <c r="C2" s="661"/>
      <c r="D2" s="661"/>
      <c r="E2" s="661"/>
      <c r="F2" s="661"/>
      <c r="G2" s="661"/>
      <c r="H2" s="55"/>
    </row>
    <row r="4" spans="2:8" ht="31.9" customHeight="1">
      <c r="B4" s="683" t="s">
        <v>488</v>
      </c>
      <c r="C4" s="683"/>
      <c r="D4" s="683"/>
      <c r="E4" s="683"/>
      <c r="F4" s="683"/>
      <c r="G4" s="683"/>
      <c r="H4" s="55"/>
    </row>
    <row r="5" spans="2:8" ht="15.75" thickBot="1">
      <c r="B5" s="54"/>
      <c r="C5" s="54"/>
      <c r="D5" s="54"/>
      <c r="E5" s="54"/>
      <c r="F5" s="54"/>
      <c r="G5" s="54"/>
      <c r="H5" s="54"/>
    </row>
    <row r="6" spans="2:8" ht="16.149999999999999" customHeight="1">
      <c r="B6" s="709" t="s">
        <v>391</v>
      </c>
      <c r="C6" s="695" t="s">
        <v>490</v>
      </c>
      <c r="D6" s="711" t="s">
        <v>665</v>
      </c>
      <c r="E6" s="712"/>
      <c r="F6" s="711" t="s">
        <v>664</v>
      </c>
      <c r="G6" s="712"/>
    </row>
    <row r="7" spans="2:8">
      <c r="B7" s="710"/>
      <c r="C7" s="696"/>
      <c r="D7" s="231" t="s">
        <v>390</v>
      </c>
      <c r="E7" s="231" t="s">
        <v>231</v>
      </c>
      <c r="F7" s="615" t="s">
        <v>390</v>
      </c>
      <c r="G7" s="616" t="s">
        <v>231</v>
      </c>
    </row>
    <row r="8" spans="2:8" ht="16.149999999999999" customHeight="1">
      <c r="B8" s="710"/>
      <c r="C8" s="713" t="s">
        <v>221</v>
      </c>
      <c r="D8" s="713" t="s">
        <v>767</v>
      </c>
      <c r="E8" s="713" t="s">
        <v>221</v>
      </c>
      <c r="F8" s="713" t="s">
        <v>768</v>
      </c>
      <c r="G8" s="713" t="s">
        <v>666</v>
      </c>
    </row>
    <row r="9" spans="2:8" ht="3" customHeight="1">
      <c r="B9" s="710"/>
      <c r="C9" s="696"/>
      <c r="D9" s="696"/>
      <c r="E9" s="696"/>
      <c r="F9" s="696"/>
      <c r="G9" s="696"/>
    </row>
    <row r="10" spans="2:8" ht="30">
      <c r="B10" s="80" t="s">
        <v>663</v>
      </c>
      <c r="C10" s="79">
        <v>500</v>
      </c>
      <c r="D10" s="79">
        <v>59</v>
      </c>
      <c r="E10" s="79">
        <v>11.3</v>
      </c>
      <c r="F10" s="484">
        <f>D10/C10</f>
        <v>0.11799999999999999</v>
      </c>
      <c r="G10" s="81">
        <v>23</v>
      </c>
    </row>
    <row r="11" spans="2:8" ht="30">
      <c r="B11" s="80" t="s">
        <v>662</v>
      </c>
      <c r="C11" s="79">
        <v>650</v>
      </c>
      <c r="D11" s="79">
        <v>65</v>
      </c>
      <c r="E11" s="79">
        <v>15.8</v>
      </c>
      <c r="F11" s="484">
        <f t="shared" ref="F11:F25" si="0">D11/C11</f>
        <v>0.1</v>
      </c>
      <c r="G11" s="81">
        <v>29</v>
      </c>
    </row>
    <row r="12" spans="2:8" ht="30">
      <c r="B12" s="80" t="s">
        <v>661</v>
      </c>
      <c r="C12" s="79">
        <v>300</v>
      </c>
      <c r="D12" s="79">
        <v>60</v>
      </c>
      <c r="E12" s="79">
        <v>6.8</v>
      </c>
      <c r="F12" s="484">
        <f t="shared" si="0"/>
        <v>0.2</v>
      </c>
      <c r="G12" s="81">
        <v>27</v>
      </c>
    </row>
    <row r="13" spans="2:8">
      <c r="B13" s="80" t="s">
        <v>660</v>
      </c>
      <c r="C13" s="79">
        <v>2.8</v>
      </c>
      <c r="D13" s="79">
        <v>0.13</v>
      </c>
      <c r="E13" s="79">
        <v>0.28000000000000003</v>
      </c>
      <c r="F13" s="484">
        <f t="shared" si="0"/>
        <v>4.642857142857143E-2</v>
      </c>
      <c r="G13" s="81">
        <v>100</v>
      </c>
    </row>
    <row r="14" spans="2:8" ht="30">
      <c r="B14" s="80" t="s">
        <v>139</v>
      </c>
      <c r="C14" s="79">
        <v>1.9</v>
      </c>
      <c r="D14" s="79">
        <v>0.32</v>
      </c>
      <c r="E14" s="79">
        <v>0.13</v>
      </c>
      <c r="F14" s="484">
        <f t="shared" si="0"/>
        <v>0.16842105263157897</v>
      </c>
      <c r="G14" s="81">
        <v>35</v>
      </c>
    </row>
    <row r="15" spans="2:8">
      <c r="B15" s="80" t="s">
        <v>140</v>
      </c>
      <c r="C15" s="342">
        <v>2.7</v>
      </c>
      <c r="D15" s="79">
        <v>0.32</v>
      </c>
      <c r="E15" s="79">
        <v>0.14000000000000001</v>
      </c>
      <c r="F15" s="484">
        <f t="shared" si="0"/>
        <v>0.11851851851851851</v>
      </c>
      <c r="G15" s="81">
        <v>57</v>
      </c>
    </row>
    <row r="16" spans="2:8">
      <c r="B16" s="80" t="s">
        <v>16</v>
      </c>
      <c r="C16" s="79">
        <v>60</v>
      </c>
      <c r="D16" s="79">
        <v>5</v>
      </c>
      <c r="E16" s="79">
        <v>2.5</v>
      </c>
      <c r="F16" s="484">
        <f t="shared" si="0"/>
        <v>8.3333333333333329E-2</v>
      </c>
      <c r="G16" s="81">
        <v>30</v>
      </c>
    </row>
    <row r="17" spans="2:10">
      <c r="B17" s="80" t="s">
        <v>311</v>
      </c>
      <c r="C17" s="79">
        <v>550</v>
      </c>
      <c r="D17" s="79">
        <v>60</v>
      </c>
      <c r="E17" s="79">
        <v>10</v>
      </c>
      <c r="F17" s="484">
        <f t="shared" si="0"/>
        <v>0.10909090909090909</v>
      </c>
      <c r="G17" s="81">
        <v>19</v>
      </c>
    </row>
    <row r="18" spans="2:10">
      <c r="B18" s="80" t="s">
        <v>141</v>
      </c>
      <c r="C18" s="79">
        <v>1</v>
      </c>
      <c r="D18" s="79">
        <v>0.1</v>
      </c>
      <c r="E18" s="79">
        <v>0.15</v>
      </c>
      <c r="F18" s="484">
        <f t="shared" si="0"/>
        <v>0.1</v>
      </c>
      <c r="G18" s="81">
        <v>150</v>
      </c>
    </row>
    <row r="19" spans="2:10">
      <c r="B19" s="80" t="s">
        <v>659</v>
      </c>
      <c r="C19" s="79">
        <v>0.5</v>
      </c>
      <c r="D19" s="79">
        <v>0.05</v>
      </c>
      <c r="E19" s="79">
        <v>0.05</v>
      </c>
      <c r="F19" s="484">
        <f t="shared" si="0"/>
        <v>0.1</v>
      </c>
      <c r="G19" s="81">
        <v>100</v>
      </c>
    </row>
    <row r="20" spans="2:10">
      <c r="B20" s="80" t="s">
        <v>23</v>
      </c>
      <c r="C20" s="79">
        <v>3</v>
      </c>
      <c r="D20" s="79">
        <v>0.3</v>
      </c>
      <c r="E20" s="79">
        <v>0.18</v>
      </c>
      <c r="F20" s="484">
        <f t="shared" si="0"/>
        <v>9.9999999999999992E-2</v>
      </c>
      <c r="G20" s="81">
        <v>60</v>
      </c>
    </row>
    <row r="21" spans="2:10" ht="30">
      <c r="B21" s="80" t="s">
        <v>142</v>
      </c>
      <c r="C21" s="79">
        <v>64</v>
      </c>
      <c r="D21" s="79">
        <v>11</v>
      </c>
      <c r="E21" s="79">
        <v>1.7</v>
      </c>
      <c r="F21" s="484">
        <f t="shared" si="0"/>
        <v>0.171875</v>
      </c>
      <c r="G21" s="81">
        <v>35</v>
      </c>
    </row>
    <row r="22" spans="2:10" ht="30">
      <c r="B22" s="80" t="s">
        <v>143</v>
      </c>
      <c r="C22" s="79">
        <v>45</v>
      </c>
      <c r="D22" s="79">
        <v>3</v>
      </c>
      <c r="E22" s="79">
        <v>1.6</v>
      </c>
      <c r="F22" s="484">
        <f t="shared" si="0"/>
        <v>6.6666666666666666E-2</v>
      </c>
      <c r="G22" s="81">
        <v>35</v>
      </c>
    </row>
    <row r="23" spans="2:10" ht="31.9" customHeight="1">
      <c r="B23" s="80" t="s">
        <v>144</v>
      </c>
      <c r="C23" s="79">
        <v>80</v>
      </c>
      <c r="D23" s="79">
        <v>7</v>
      </c>
      <c r="E23" s="79">
        <v>3</v>
      </c>
      <c r="F23" s="484">
        <f t="shared" si="0"/>
        <v>8.7499999999999994E-2</v>
      </c>
      <c r="G23" s="81">
        <v>40</v>
      </c>
    </row>
    <row r="24" spans="2:10">
      <c r="B24" s="80" t="s">
        <v>145</v>
      </c>
      <c r="C24" s="79">
        <v>200</v>
      </c>
      <c r="D24" s="79">
        <v>17</v>
      </c>
      <c r="E24" s="79">
        <v>4.2</v>
      </c>
      <c r="F24" s="484">
        <f t="shared" si="0"/>
        <v>8.5000000000000006E-2</v>
      </c>
      <c r="G24" s="81">
        <v>24</v>
      </c>
    </row>
    <row r="25" spans="2:10" ht="15.75" thickBot="1">
      <c r="B25" s="82" t="s">
        <v>658</v>
      </c>
      <c r="C25" s="83">
        <v>5</v>
      </c>
      <c r="D25" s="83">
        <v>0.47</v>
      </c>
      <c r="E25" s="83">
        <v>0.23</v>
      </c>
      <c r="F25" s="485">
        <f t="shared" si="0"/>
        <v>9.4E-2</v>
      </c>
      <c r="G25" s="84">
        <v>44</v>
      </c>
    </row>
    <row r="26" spans="2:10">
      <c r="B26" s="51"/>
      <c r="C26" s="52"/>
      <c r="D26" s="52"/>
      <c r="E26" s="52"/>
      <c r="F26" s="52"/>
      <c r="G26" s="52"/>
    </row>
    <row r="27" spans="2:10" ht="31.9" customHeight="1">
      <c r="B27" s="714" t="s">
        <v>489</v>
      </c>
      <c r="C27" s="714"/>
      <c r="D27" s="714"/>
      <c r="E27" s="714"/>
      <c r="F27" s="714"/>
      <c r="G27" s="714"/>
      <c r="H27" s="53"/>
      <c r="I27" s="53"/>
      <c r="J27" s="53"/>
    </row>
    <row r="28" spans="2:10" ht="15.75" thickBot="1">
      <c r="B28" s="715"/>
      <c r="C28" s="715"/>
      <c r="D28" s="715"/>
      <c r="E28" s="715"/>
      <c r="F28" s="715"/>
      <c r="G28" s="715"/>
    </row>
    <row r="29" spans="2:10" ht="16.149999999999999" customHeight="1">
      <c r="B29" s="668" t="s">
        <v>677</v>
      </c>
      <c r="C29" s="695" t="s">
        <v>490</v>
      </c>
      <c r="D29" s="716" t="s">
        <v>665</v>
      </c>
      <c r="E29" s="717"/>
      <c r="F29" s="716" t="s">
        <v>678</v>
      </c>
      <c r="G29" s="717"/>
    </row>
    <row r="30" spans="2:10">
      <c r="B30" s="669"/>
      <c r="C30" s="696"/>
      <c r="D30" s="229" t="s">
        <v>390</v>
      </c>
      <c r="E30" s="229" t="s">
        <v>231</v>
      </c>
      <c r="F30" s="229" t="s">
        <v>390</v>
      </c>
      <c r="G30" s="230" t="s">
        <v>231</v>
      </c>
    </row>
    <row r="31" spans="2:10" ht="7.9" customHeight="1">
      <c r="B31" s="669"/>
      <c r="C31" s="713" t="s">
        <v>342</v>
      </c>
      <c r="D31" s="713" t="s">
        <v>739</v>
      </c>
      <c r="E31" s="713" t="s">
        <v>342</v>
      </c>
      <c r="F31" s="718" t="s">
        <v>739</v>
      </c>
      <c r="G31" s="719" t="s">
        <v>342</v>
      </c>
    </row>
    <row r="32" spans="2:10">
      <c r="B32" s="670"/>
      <c r="C32" s="696"/>
      <c r="D32" s="696"/>
      <c r="E32" s="696"/>
      <c r="F32" s="718"/>
      <c r="G32" s="719"/>
    </row>
    <row r="33" spans="2:7">
      <c r="B33" s="80" t="s">
        <v>667</v>
      </c>
      <c r="C33" s="79">
        <v>45</v>
      </c>
      <c r="D33" s="79">
        <v>2</v>
      </c>
      <c r="E33" s="79">
        <v>8</v>
      </c>
      <c r="F33" s="486">
        <f>D33/C33</f>
        <v>4.4444444444444446E-2</v>
      </c>
      <c r="G33" s="488">
        <f>E33/C33</f>
        <v>0.17777777777777778</v>
      </c>
    </row>
    <row r="34" spans="2:7">
      <c r="B34" s="80" t="s">
        <v>668</v>
      </c>
      <c r="C34" s="579">
        <v>2500</v>
      </c>
      <c r="D34" s="79">
        <v>150</v>
      </c>
      <c r="E34" s="79">
        <v>150</v>
      </c>
      <c r="F34" s="486">
        <f t="shared" ref="F34:F44" si="1">D34/C34</f>
        <v>0.06</v>
      </c>
      <c r="G34" s="488">
        <f t="shared" ref="G34:G44" si="2">E34/C34</f>
        <v>0.06</v>
      </c>
    </row>
    <row r="35" spans="2:7">
      <c r="B35" s="80" t="s">
        <v>669</v>
      </c>
      <c r="C35" s="579">
        <v>35000</v>
      </c>
      <c r="D35" s="579">
        <v>2500</v>
      </c>
      <c r="E35" s="579">
        <v>1300</v>
      </c>
      <c r="F35" s="486">
        <f t="shared" si="1"/>
        <v>7.1428571428571425E-2</v>
      </c>
      <c r="G35" s="488">
        <f t="shared" si="2"/>
        <v>3.7142857142857144E-2</v>
      </c>
    </row>
    <row r="36" spans="2:7">
      <c r="B36" s="80" t="s">
        <v>670</v>
      </c>
      <c r="C36" s="579">
        <v>2000</v>
      </c>
      <c r="D36" s="79">
        <v>100</v>
      </c>
      <c r="E36" s="79">
        <v>150</v>
      </c>
      <c r="F36" s="486">
        <f t="shared" si="1"/>
        <v>0.05</v>
      </c>
      <c r="G36" s="488">
        <f t="shared" si="2"/>
        <v>7.4999999999999997E-2</v>
      </c>
    </row>
    <row r="37" spans="2:7">
      <c r="B37" s="80" t="s">
        <v>671</v>
      </c>
      <c r="C37" s="79">
        <v>85</v>
      </c>
      <c r="D37" s="79">
        <v>5</v>
      </c>
      <c r="E37" s="79">
        <v>8</v>
      </c>
      <c r="F37" s="486">
        <f t="shared" si="1"/>
        <v>5.8823529411764705E-2</v>
      </c>
      <c r="G37" s="488">
        <f t="shared" si="2"/>
        <v>9.4117647058823528E-2</v>
      </c>
    </row>
    <row r="38" spans="2:7">
      <c r="B38" s="80" t="s">
        <v>672</v>
      </c>
      <c r="C38" s="79">
        <v>700</v>
      </c>
      <c r="D38" s="79">
        <v>50</v>
      </c>
      <c r="E38" s="79">
        <v>45</v>
      </c>
      <c r="F38" s="486">
        <f t="shared" si="1"/>
        <v>7.1428571428571425E-2</v>
      </c>
      <c r="G38" s="488">
        <f t="shared" si="2"/>
        <v>6.4285714285714279E-2</v>
      </c>
    </row>
    <row r="39" spans="2:7" ht="30">
      <c r="B39" s="80" t="s">
        <v>673</v>
      </c>
      <c r="C39" s="79">
        <v>45</v>
      </c>
      <c r="D39" s="79">
        <v>8</v>
      </c>
      <c r="E39" s="79">
        <v>6</v>
      </c>
      <c r="F39" s="486">
        <f t="shared" si="1"/>
        <v>0.17777777777777778</v>
      </c>
      <c r="G39" s="488">
        <f t="shared" si="2"/>
        <v>0.13333333333333333</v>
      </c>
    </row>
    <row r="40" spans="2:7" ht="30">
      <c r="B40" s="80" t="s">
        <v>674</v>
      </c>
      <c r="C40" s="79">
        <v>100</v>
      </c>
      <c r="D40" s="79">
        <v>20</v>
      </c>
      <c r="E40" s="79">
        <v>10</v>
      </c>
      <c r="F40" s="486">
        <f t="shared" si="1"/>
        <v>0.2</v>
      </c>
      <c r="G40" s="488">
        <f t="shared" si="2"/>
        <v>0.1</v>
      </c>
    </row>
    <row r="41" spans="2:7">
      <c r="B41" s="80" t="s">
        <v>675</v>
      </c>
      <c r="C41" s="79">
        <v>60</v>
      </c>
      <c r="D41" s="79">
        <v>8</v>
      </c>
      <c r="E41" s="79">
        <v>7</v>
      </c>
      <c r="F41" s="486">
        <f t="shared" si="1"/>
        <v>0.13333333333333333</v>
      </c>
      <c r="G41" s="488">
        <f t="shared" si="2"/>
        <v>0.11666666666666667</v>
      </c>
    </row>
    <row r="42" spans="2:7">
      <c r="B42" s="80" t="s">
        <v>659</v>
      </c>
      <c r="C42" s="79">
        <v>500</v>
      </c>
      <c r="D42" s="79">
        <v>50</v>
      </c>
      <c r="E42" s="79">
        <v>50</v>
      </c>
      <c r="F42" s="486">
        <f t="shared" si="1"/>
        <v>0.1</v>
      </c>
      <c r="G42" s="488">
        <f t="shared" si="2"/>
        <v>0.1</v>
      </c>
    </row>
    <row r="43" spans="2:7">
      <c r="B43" s="80" t="s">
        <v>23</v>
      </c>
      <c r="C43" s="579">
        <v>3000</v>
      </c>
      <c r="D43" s="79">
        <v>300</v>
      </c>
      <c r="E43" s="79">
        <v>180</v>
      </c>
      <c r="F43" s="486">
        <f t="shared" si="1"/>
        <v>0.1</v>
      </c>
      <c r="G43" s="488">
        <f t="shared" si="2"/>
        <v>0.06</v>
      </c>
    </row>
    <row r="44" spans="2:7" ht="15.75" thickBot="1">
      <c r="B44" s="82" t="s">
        <v>676</v>
      </c>
      <c r="C44" s="83">
        <v>400</v>
      </c>
      <c r="D44" s="83">
        <v>50</v>
      </c>
      <c r="E44" s="83">
        <v>24</v>
      </c>
      <c r="F44" s="487">
        <f t="shared" si="1"/>
        <v>0.125</v>
      </c>
      <c r="G44" s="489">
        <f t="shared" si="2"/>
        <v>0.06</v>
      </c>
    </row>
    <row r="46" spans="2:7">
      <c r="B46" s="15" t="s">
        <v>679</v>
      </c>
    </row>
  </sheetData>
  <mergeCells count="22">
    <mergeCell ref="B2:G2"/>
    <mergeCell ref="C29:C30"/>
    <mergeCell ref="C31:C32"/>
    <mergeCell ref="D31:D32"/>
    <mergeCell ref="E31:E32"/>
    <mergeCell ref="B4:G4"/>
    <mergeCell ref="B27:G27"/>
    <mergeCell ref="B28:G28"/>
    <mergeCell ref="B29:B32"/>
    <mergeCell ref="D29:E29"/>
    <mergeCell ref="F29:G29"/>
    <mergeCell ref="F31:F32"/>
    <mergeCell ref="G31:G32"/>
    <mergeCell ref="C8:C9"/>
    <mergeCell ref="D8:D9"/>
    <mergeCell ref="E8:E9"/>
    <mergeCell ref="B6:B9"/>
    <mergeCell ref="D6:E6"/>
    <mergeCell ref="F6:G6"/>
    <mergeCell ref="F8:F9"/>
    <mergeCell ref="G8:G9"/>
    <mergeCell ref="C6:C7"/>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61"/>
  <sheetViews>
    <sheetView topLeftCell="A49" workbookViewId="0">
      <selection activeCell="L18" sqref="L18"/>
    </sheetView>
  </sheetViews>
  <sheetFormatPr baseColWidth="10" defaultColWidth="10.7109375" defaultRowHeight="15"/>
  <cols>
    <col min="1" max="1" width="10.7109375" style="15"/>
    <col min="2" max="2" width="16.7109375" style="15" bestFit="1" customWidth="1"/>
    <col min="3" max="3" width="20.28515625" style="15" customWidth="1"/>
    <col min="4" max="4" width="13.7109375" style="15" bestFit="1" customWidth="1"/>
    <col min="5" max="5" width="15.7109375" style="15" customWidth="1"/>
    <col min="6" max="6" width="13.7109375" style="15" customWidth="1"/>
    <col min="7" max="7" width="5.7109375" style="15" bestFit="1" customWidth="1"/>
    <col min="8" max="8" width="20.7109375" style="15" customWidth="1"/>
    <col min="9" max="9" width="21.85546875" style="15" customWidth="1"/>
    <col min="10" max="16384" width="10.7109375" style="15"/>
  </cols>
  <sheetData>
    <row r="2" spans="2:10">
      <c r="B2" s="661" t="s">
        <v>192</v>
      </c>
      <c r="C2" s="661"/>
      <c r="D2" s="661"/>
      <c r="E2" s="661"/>
      <c r="F2" s="661"/>
      <c r="G2" s="661"/>
      <c r="H2" s="661"/>
      <c r="I2" s="661"/>
      <c r="J2" s="55"/>
    </row>
    <row r="3" spans="2:10">
      <c r="B3" s="54"/>
      <c r="C3" s="54"/>
      <c r="D3" s="54"/>
      <c r="E3" s="54"/>
      <c r="F3" s="54"/>
      <c r="G3" s="54"/>
      <c r="H3" s="54"/>
      <c r="I3" s="54"/>
      <c r="J3" s="54"/>
    </row>
    <row r="4" spans="2:10">
      <c r="B4" s="700" t="s">
        <v>448</v>
      </c>
      <c r="C4" s="700"/>
      <c r="D4" s="700"/>
      <c r="E4" s="700"/>
      <c r="F4" s="700"/>
      <c r="G4" s="700"/>
      <c r="H4" s="700"/>
      <c r="I4" s="700"/>
      <c r="J4" s="54"/>
    </row>
    <row r="5" spans="2:10" ht="15.75" thickBot="1">
      <c r="B5" s="54"/>
      <c r="C5" s="56"/>
      <c r="D5" s="54"/>
      <c r="E5" s="54"/>
      <c r="F5" s="54"/>
      <c r="G5" s="54"/>
      <c r="H5" s="54"/>
      <c r="I5" s="54"/>
      <c r="J5" s="54"/>
    </row>
    <row r="6" spans="2:10">
      <c r="B6" s="47"/>
      <c r="C6" s="500" t="s">
        <v>680</v>
      </c>
      <c r="D6" s="457" t="s">
        <v>681</v>
      </c>
      <c r="E6" s="457" t="s">
        <v>682</v>
      </c>
      <c r="F6" s="457" t="s">
        <v>681</v>
      </c>
      <c r="I6" s="94"/>
      <c r="J6" s="94"/>
    </row>
    <row r="7" spans="2:10">
      <c r="B7" s="47"/>
      <c r="C7" s="501">
        <v>450</v>
      </c>
      <c r="D7" s="403">
        <v>13.5</v>
      </c>
      <c r="E7" s="403">
        <f>0.025*C7+0.1*D7</f>
        <v>12.6</v>
      </c>
      <c r="F7" s="502"/>
      <c r="H7" s="265"/>
      <c r="I7" s="344"/>
      <c r="J7" s="94"/>
    </row>
    <row r="8" spans="2:10">
      <c r="C8" s="316"/>
      <c r="D8" s="11"/>
      <c r="E8" s="11"/>
      <c r="F8" s="317"/>
      <c r="I8" s="94"/>
      <c r="J8" s="94"/>
    </row>
    <row r="9" spans="2:10" ht="15.75" thickBot="1">
      <c r="B9" s="47"/>
      <c r="C9" s="492" t="s">
        <v>683</v>
      </c>
      <c r="D9" s="580">
        <f>D7*300</f>
        <v>4050</v>
      </c>
      <c r="E9" s="490"/>
      <c r="F9" s="491"/>
      <c r="I9" s="94"/>
      <c r="J9" s="94"/>
    </row>
    <row r="10" spans="2:10">
      <c r="I10" s="94"/>
      <c r="J10" s="94"/>
    </row>
    <row r="12" spans="2:10">
      <c r="B12" s="700" t="s">
        <v>611</v>
      </c>
      <c r="C12" s="700"/>
      <c r="D12" s="700"/>
      <c r="E12" s="700"/>
      <c r="F12" s="700"/>
      <c r="G12" s="700"/>
      <c r="H12" s="700"/>
      <c r="I12" s="700"/>
    </row>
    <row r="13" spans="2:10" ht="15.75" thickBot="1"/>
    <row r="14" spans="2:10" ht="17.25">
      <c r="B14" s="219" t="s">
        <v>179</v>
      </c>
      <c r="C14" s="457" t="s">
        <v>178</v>
      </c>
      <c r="D14" s="457" t="s">
        <v>180</v>
      </c>
      <c r="E14" s="457" t="s">
        <v>181</v>
      </c>
      <c r="F14" s="457" t="s">
        <v>182</v>
      </c>
      <c r="G14" s="458" t="s">
        <v>183</v>
      </c>
      <c r="H14" s="219" t="s">
        <v>612</v>
      </c>
      <c r="I14" s="237" t="s">
        <v>613</v>
      </c>
    </row>
    <row r="15" spans="2:10">
      <c r="B15" s="316" t="s">
        <v>184</v>
      </c>
      <c r="C15" s="11">
        <f>C21*0.8</f>
        <v>8</v>
      </c>
      <c r="D15" s="11">
        <f>C15*D24</f>
        <v>63.2</v>
      </c>
      <c r="E15" s="11">
        <f>C15*E24</f>
        <v>784</v>
      </c>
      <c r="F15" s="11">
        <f>C15*F24</f>
        <v>28.8</v>
      </c>
      <c r="G15" s="317">
        <f>C15*G24</f>
        <v>23.2</v>
      </c>
      <c r="H15" s="343">
        <f>C15*100/C24</f>
        <v>40</v>
      </c>
      <c r="I15" s="582">
        <f>H15*365</f>
        <v>14600</v>
      </c>
    </row>
    <row r="16" spans="2:10">
      <c r="B16" s="316" t="s">
        <v>185</v>
      </c>
      <c r="C16" s="11">
        <f>C21*0.2</f>
        <v>2</v>
      </c>
      <c r="D16" s="11">
        <f>C16*D25</f>
        <v>18</v>
      </c>
      <c r="E16" s="11">
        <f>C16*E25</f>
        <v>410</v>
      </c>
      <c r="F16" s="11">
        <f>C16*F25</f>
        <v>5</v>
      </c>
      <c r="G16" s="317">
        <f>C16*G25</f>
        <v>26</v>
      </c>
      <c r="H16" s="343">
        <f>C16*100/C25</f>
        <v>10.526315789473685</v>
      </c>
      <c r="I16" s="582">
        <f t="shared" ref="I16:I18" si="0">H16*365</f>
        <v>3842.105263157895</v>
      </c>
    </row>
    <row r="17" spans="2:9">
      <c r="B17" s="316" t="s">
        <v>186</v>
      </c>
      <c r="C17" s="11">
        <f>C21*0</f>
        <v>0</v>
      </c>
      <c r="D17" s="11">
        <f>C17*D26</f>
        <v>0</v>
      </c>
      <c r="E17" s="11">
        <f>C17*E26</f>
        <v>0</v>
      </c>
      <c r="F17" s="11">
        <f>C17*F26</f>
        <v>0</v>
      </c>
      <c r="G17" s="317">
        <f>C17*G26</f>
        <v>0</v>
      </c>
      <c r="H17" s="343">
        <f>C17*100/C26</f>
        <v>0</v>
      </c>
      <c r="I17" s="285">
        <f t="shared" si="0"/>
        <v>0</v>
      </c>
    </row>
    <row r="18" spans="2:9">
      <c r="B18" s="493" t="s">
        <v>187</v>
      </c>
      <c r="C18" s="11">
        <f>C21*0</f>
        <v>0</v>
      </c>
      <c r="D18" s="11">
        <f>C18*D27</f>
        <v>0</v>
      </c>
      <c r="E18" s="11">
        <f>C18*E27</f>
        <v>0</v>
      </c>
      <c r="F18" s="11">
        <f>C18*F27</f>
        <v>0</v>
      </c>
      <c r="G18" s="317">
        <f>C18*G27</f>
        <v>0</v>
      </c>
      <c r="H18" s="343">
        <f>C18*100/C27</f>
        <v>0</v>
      </c>
      <c r="I18" s="285">
        <f t="shared" si="0"/>
        <v>0</v>
      </c>
    </row>
    <row r="19" spans="2:9" ht="15.75" thickBot="1">
      <c r="B19" s="494" t="s">
        <v>188</v>
      </c>
      <c r="C19" s="34">
        <f>SUM(C15:C18)</f>
        <v>10</v>
      </c>
      <c r="D19" s="34">
        <f>SUM(D15:D18)</f>
        <v>81.2</v>
      </c>
      <c r="E19" s="581">
        <f>SUM(E15:E18)</f>
        <v>1194</v>
      </c>
      <c r="F19" s="34">
        <f t="shared" ref="F19:I19" si="1">SUM(F15:F18)</f>
        <v>33.799999999999997</v>
      </c>
      <c r="G19" s="495">
        <f t="shared" si="1"/>
        <v>49.2</v>
      </c>
      <c r="H19" s="496">
        <f t="shared" si="1"/>
        <v>50.526315789473685</v>
      </c>
      <c r="I19" s="583">
        <f t="shared" si="1"/>
        <v>18442.105263157893</v>
      </c>
    </row>
    <row r="20" spans="2:9">
      <c r="B20" s="316"/>
      <c r="C20" s="11"/>
      <c r="D20" s="11"/>
      <c r="E20" s="11"/>
      <c r="F20" s="11"/>
      <c r="G20" s="317"/>
    </row>
    <row r="21" spans="2:9" ht="15.75" thickBot="1">
      <c r="B21" s="318" t="s">
        <v>189</v>
      </c>
      <c r="C21" s="319">
        <v>10</v>
      </c>
      <c r="D21" s="319">
        <v>72</v>
      </c>
      <c r="E21" s="319">
        <v>806</v>
      </c>
      <c r="F21" s="319">
        <v>27</v>
      </c>
      <c r="G21" s="320">
        <v>27</v>
      </c>
    </row>
    <row r="22" spans="2:9" ht="15.75" thickBot="1"/>
    <row r="23" spans="2:9">
      <c r="B23" s="219" t="s">
        <v>190</v>
      </c>
      <c r="C23" s="457" t="s">
        <v>191</v>
      </c>
      <c r="D23" s="457" t="s">
        <v>180</v>
      </c>
      <c r="E23" s="457" t="s">
        <v>181</v>
      </c>
      <c r="F23" s="457" t="s">
        <v>182</v>
      </c>
      <c r="G23" s="458" t="s">
        <v>183</v>
      </c>
    </row>
    <row r="24" spans="2:9">
      <c r="B24" s="316" t="s">
        <v>184</v>
      </c>
      <c r="C24" s="11">
        <v>20</v>
      </c>
      <c r="D24" s="11">
        <v>7.9</v>
      </c>
      <c r="E24" s="11">
        <v>98</v>
      </c>
      <c r="F24" s="11">
        <v>3.6</v>
      </c>
      <c r="G24" s="317">
        <v>2.9</v>
      </c>
    </row>
    <row r="25" spans="2:9">
      <c r="B25" s="316" t="s">
        <v>185</v>
      </c>
      <c r="C25" s="11">
        <v>19</v>
      </c>
      <c r="D25" s="11">
        <v>9</v>
      </c>
      <c r="E25" s="11">
        <v>205</v>
      </c>
      <c r="F25" s="11">
        <v>2.5</v>
      </c>
      <c r="G25" s="317">
        <v>13</v>
      </c>
    </row>
    <row r="26" spans="2:9">
      <c r="B26" s="316" t="s">
        <v>186</v>
      </c>
      <c r="C26" s="11">
        <v>15</v>
      </c>
      <c r="D26" s="11">
        <v>8.8000000000000007</v>
      </c>
      <c r="E26" s="11">
        <v>132</v>
      </c>
      <c r="F26" s="11">
        <v>12.4</v>
      </c>
      <c r="G26" s="317">
        <v>3.1</v>
      </c>
    </row>
    <row r="27" spans="2:9" ht="15.75" thickBot="1">
      <c r="B27" s="497" t="s">
        <v>187</v>
      </c>
      <c r="C27" s="319">
        <v>25</v>
      </c>
      <c r="D27" s="319">
        <v>11</v>
      </c>
      <c r="E27" s="319">
        <v>55</v>
      </c>
      <c r="F27" s="319">
        <v>11</v>
      </c>
      <c r="G27" s="320">
        <v>2.2999999999999998</v>
      </c>
    </row>
    <row r="29" spans="2:9">
      <c r="B29" s="700" t="s">
        <v>610</v>
      </c>
      <c r="C29" s="700"/>
      <c r="D29" s="700"/>
      <c r="E29" s="700"/>
      <c r="F29" s="700"/>
      <c r="G29" s="700"/>
      <c r="H29" s="700"/>
      <c r="I29" s="700"/>
    </row>
    <row r="30" spans="2:9" ht="15.75" thickBot="1"/>
    <row r="31" spans="2:9" ht="17.25">
      <c r="B31" s="219" t="s">
        <v>179</v>
      </c>
      <c r="C31" s="457" t="s">
        <v>178</v>
      </c>
      <c r="D31" s="457" t="s">
        <v>180</v>
      </c>
      <c r="E31" s="457" t="s">
        <v>181</v>
      </c>
      <c r="F31" s="457" t="s">
        <v>182</v>
      </c>
      <c r="G31" s="457" t="s">
        <v>183</v>
      </c>
      <c r="H31" s="236" t="s">
        <v>612</v>
      </c>
      <c r="I31" s="237" t="s">
        <v>614</v>
      </c>
    </row>
    <row r="32" spans="2:9">
      <c r="B32" s="316" t="s">
        <v>184</v>
      </c>
      <c r="C32" s="11">
        <f>C38*0.6</f>
        <v>7.1999999999999993</v>
      </c>
      <c r="D32" s="11">
        <f>C32*D41</f>
        <v>56.879999999999995</v>
      </c>
      <c r="E32" s="11">
        <f>C32*E41</f>
        <v>705.59999999999991</v>
      </c>
      <c r="F32" s="11">
        <f>C32*F41</f>
        <v>25.919999999999998</v>
      </c>
      <c r="G32" s="11">
        <f>C32*G41</f>
        <v>20.88</v>
      </c>
      <c r="H32" s="50">
        <f>C32*100/C41</f>
        <v>35.999999999999993</v>
      </c>
      <c r="I32" s="582">
        <f>H32*365</f>
        <v>13139.999999999998</v>
      </c>
    </row>
    <row r="33" spans="2:9">
      <c r="B33" s="316" t="s">
        <v>185</v>
      </c>
      <c r="C33" s="11">
        <f>C38*0.2</f>
        <v>2.4000000000000004</v>
      </c>
      <c r="D33" s="11">
        <f>C33*D42</f>
        <v>21.6</v>
      </c>
      <c r="E33" s="11">
        <f>C33*E42</f>
        <v>492.00000000000006</v>
      </c>
      <c r="F33" s="11">
        <f>C33*F42</f>
        <v>6.0000000000000009</v>
      </c>
      <c r="G33" s="11">
        <f>C33*G42</f>
        <v>31.200000000000003</v>
      </c>
      <c r="H33" s="50">
        <f>C33*100/C42</f>
        <v>12.631578947368423</v>
      </c>
      <c r="I33" s="582">
        <f t="shared" ref="I33:I35" si="2">H33*365</f>
        <v>4610.5263157894742</v>
      </c>
    </row>
    <row r="34" spans="2:9">
      <c r="B34" s="316" t="s">
        <v>186</v>
      </c>
      <c r="C34" s="11">
        <f>C38*0.1</f>
        <v>1.2000000000000002</v>
      </c>
      <c r="D34" s="11">
        <f>C34*D43</f>
        <v>10.560000000000002</v>
      </c>
      <c r="E34" s="11">
        <f>C34*E43</f>
        <v>158.40000000000003</v>
      </c>
      <c r="F34" s="11">
        <f>C34*F43</f>
        <v>14.880000000000003</v>
      </c>
      <c r="G34" s="11">
        <f>C34*G43</f>
        <v>3.7200000000000006</v>
      </c>
      <c r="H34" s="50">
        <f>C34*100/C43</f>
        <v>8.0000000000000018</v>
      </c>
      <c r="I34" s="582">
        <f t="shared" si="2"/>
        <v>2920.0000000000005</v>
      </c>
    </row>
    <row r="35" spans="2:9">
      <c r="B35" s="493" t="s">
        <v>187</v>
      </c>
      <c r="C35" s="11">
        <f>C38*0.1</f>
        <v>1.2000000000000002</v>
      </c>
      <c r="D35" s="11">
        <f>C35*D44</f>
        <v>13.200000000000003</v>
      </c>
      <c r="E35" s="11">
        <f>C35*E44</f>
        <v>66.000000000000014</v>
      </c>
      <c r="F35" s="11">
        <f>C35*F44</f>
        <v>13.200000000000003</v>
      </c>
      <c r="G35" s="11">
        <f>C35*G44</f>
        <v>2.7600000000000002</v>
      </c>
      <c r="H35" s="50">
        <f>C35*100/C44</f>
        <v>4.8000000000000007</v>
      </c>
      <c r="I35" s="582">
        <f t="shared" si="2"/>
        <v>1752.0000000000002</v>
      </c>
    </row>
    <row r="36" spans="2:9" s="16" customFormat="1">
      <c r="B36" s="494" t="s">
        <v>188</v>
      </c>
      <c r="C36" s="34">
        <f>SUM(C32:C35)</f>
        <v>12</v>
      </c>
      <c r="D36" s="34">
        <f>SUM(D32:D35)</f>
        <v>102.24</v>
      </c>
      <c r="E36" s="581">
        <f>SUM(E32:E35)</f>
        <v>1422</v>
      </c>
      <c r="F36" s="34">
        <f t="shared" ref="F36:I36" si="3">SUM(F32:F35)</f>
        <v>60</v>
      </c>
      <c r="G36" s="34">
        <f t="shared" si="3"/>
        <v>58.559999999999995</v>
      </c>
      <c r="H36" s="498">
        <f t="shared" si="3"/>
        <v>61.431578947368422</v>
      </c>
      <c r="I36" s="585">
        <f t="shared" si="3"/>
        <v>22422.526315789473</v>
      </c>
    </row>
    <row r="37" spans="2:9">
      <c r="B37" s="316"/>
      <c r="C37" s="11"/>
      <c r="D37" s="11"/>
      <c r="E37" s="11"/>
      <c r="F37" s="11"/>
      <c r="G37" s="11"/>
      <c r="H37" s="11"/>
      <c r="I37" s="317"/>
    </row>
    <row r="38" spans="2:9" ht="15.75" thickBot="1">
      <c r="B38" s="318" t="s">
        <v>189</v>
      </c>
      <c r="C38" s="499">
        <v>12</v>
      </c>
      <c r="D38" s="499">
        <v>103</v>
      </c>
      <c r="E38" s="584">
        <v>1161</v>
      </c>
      <c r="F38" s="499">
        <v>44</v>
      </c>
      <c r="G38" s="499">
        <v>39</v>
      </c>
      <c r="H38" s="235"/>
      <c r="I38" s="320"/>
    </row>
    <row r="39" spans="2:9" ht="15.75" thickBot="1"/>
    <row r="40" spans="2:9">
      <c r="B40" s="219" t="s">
        <v>190</v>
      </c>
      <c r="C40" s="457" t="s">
        <v>191</v>
      </c>
      <c r="D40" s="457" t="s">
        <v>180</v>
      </c>
      <c r="E40" s="457" t="s">
        <v>181</v>
      </c>
      <c r="F40" s="457" t="s">
        <v>182</v>
      </c>
      <c r="G40" s="458" t="s">
        <v>183</v>
      </c>
    </row>
    <row r="41" spans="2:9">
      <c r="B41" s="316" t="s">
        <v>184</v>
      </c>
      <c r="C41" s="11">
        <v>20</v>
      </c>
      <c r="D41" s="11">
        <v>7.9</v>
      </c>
      <c r="E41" s="11">
        <v>98</v>
      </c>
      <c r="F41" s="11">
        <v>3.6</v>
      </c>
      <c r="G41" s="317">
        <v>2.9</v>
      </c>
    </row>
    <row r="42" spans="2:9">
      <c r="B42" s="316" t="s">
        <v>185</v>
      </c>
      <c r="C42" s="11">
        <v>19</v>
      </c>
      <c r="D42" s="11">
        <v>9</v>
      </c>
      <c r="E42" s="11">
        <v>205</v>
      </c>
      <c r="F42" s="11">
        <v>2.5</v>
      </c>
      <c r="G42" s="317">
        <v>13</v>
      </c>
    </row>
    <row r="43" spans="2:9">
      <c r="B43" s="316" t="s">
        <v>186</v>
      </c>
      <c r="C43" s="11">
        <v>15</v>
      </c>
      <c r="D43" s="11">
        <v>8.8000000000000007</v>
      </c>
      <c r="E43" s="11">
        <v>132</v>
      </c>
      <c r="F43" s="11">
        <v>12.4</v>
      </c>
      <c r="G43" s="317">
        <v>3.1</v>
      </c>
    </row>
    <row r="44" spans="2:9" ht="15.75" thickBot="1">
      <c r="B44" s="497" t="s">
        <v>187</v>
      </c>
      <c r="C44" s="319">
        <v>25</v>
      </c>
      <c r="D44" s="319">
        <v>11</v>
      </c>
      <c r="E44" s="319">
        <v>55</v>
      </c>
      <c r="F44" s="319">
        <v>11</v>
      </c>
      <c r="G44" s="320">
        <v>2.2999999999999998</v>
      </c>
    </row>
    <row r="46" spans="2:9">
      <c r="B46" s="700" t="s">
        <v>684</v>
      </c>
      <c r="C46" s="700"/>
      <c r="D46" s="700"/>
      <c r="E46" s="700"/>
      <c r="F46" s="700"/>
      <c r="G46" s="700"/>
      <c r="H46" s="700"/>
      <c r="I46" s="700"/>
    </row>
    <row r="47" spans="2:9" ht="15.75" thickBot="1"/>
    <row r="48" spans="2:9" ht="17.25">
      <c r="B48" s="219" t="s">
        <v>179</v>
      </c>
      <c r="C48" s="457" t="s">
        <v>178</v>
      </c>
      <c r="D48" s="457" t="s">
        <v>180</v>
      </c>
      <c r="E48" s="457" t="s">
        <v>181</v>
      </c>
      <c r="F48" s="457" t="s">
        <v>182</v>
      </c>
      <c r="G48" s="457" t="s">
        <v>183</v>
      </c>
      <c r="H48" s="236" t="s">
        <v>612</v>
      </c>
      <c r="I48" s="237" t="s">
        <v>614</v>
      </c>
    </row>
    <row r="49" spans="2:9">
      <c r="B49" s="316" t="s">
        <v>184</v>
      </c>
      <c r="C49" s="11">
        <f>C55*0.6</f>
        <v>7.8</v>
      </c>
      <c r="D49" s="50">
        <f>C49*D58</f>
        <v>61.620000000000005</v>
      </c>
      <c r="E49" s="11">
        <f>C49*E58</f>
        <v>764.4</v>
      </c>
      <c r="F49" s="11">
        <f>C49*F58</f>
        <v>28.08</v>
      </c>
      <c r="G49" s="50">
        <f>C49*G58</f>
        <v>22.619999999999997</v>
      </c>
      <c r="H49" s="50">
        <f>C49*100/C58</f>
        <v>39</v>
      </c>
      <c r="I49" s="582">
        <f>H49*365</f>
        <v>14235</v>
      </c>
    </row>
    <row r="50" spans="2:9">
      <c r="B50" s="316" t="s">
        <v>185</v>
      </c>
      <c r="C50" s="11">
        <f>C55*0.2</f>
        <v>2.6</v>
      </c>
      <c r="D50" s="50">
        <f>C50*D59</f>
        <v>23.400000000000002</v>
      </c>
      <c r="E50" s="11">
        <f>C50*E59</f>
        <v>533</v>
      </c>
      <c r="F50" s="11">
        <f>C50*F59</f>
        <v>6.5</v>
      </c>
      <c r="G50" s="50">
        <f>C50*G59</f>
        <v>33.800000000000004</v>
      </c>
      <c r="H50" s="50">
        <f>C50*100/C59</f>
        <v>13.684210526315789</v>
      </c>
      <c r="I50" s="582">
        <f t="shared" ref="I50:I52" si="4">H50*365</f>
        <v>4994.7368421052633</v>
      </c>
    </row>
    <row r="51" spans="2:9">
      <c r="B51" s="316" t="s">
        <v>186</v>
      </c>
      <c r="C51" s="11">
        <f>C55*0.1</f>
        <v>1.3</v>
      </c>
      <c r="D51" s="50">
        <f>C51*D60</f>
        <v>11.440000000000001</v>
      </c>
      <c r="E51" s="11">
        <f>C51*E60</f>
        <v>171.6</v>
      </c>
      <c r="F51" s="11">
        <f>C51*F60</f>
        <v>16.12</v>
      </c>
      <c r="G51" s="50">
        <f>C51*G60</f>
        <v>4.03</v>
      </c>
      <c r="H51" s="50">
        <f>C51*100/C60</f>
        <v>8.6666666666666661</v>
      </c>
      <c r="I51" s="582">
        <f t="shared" si="4"/>
        <v>3163.333333333333</v>
      </c>
    </row>
    <row r="52" spans="2:9">
      <c r="B52" s="493" t="s">
        <v>187</v>
      </c>
      <c r="C52" s="11">
        <f>C55*0.1</f>
        <v>1.3</v>
      </c>
      <c r="D52" s="50">
        <f>C52*D61</f>
        <v>14.3</v>
      </c>
      <c r="E52" s="11">
        <f>C52*E61</f>
        <v>71.5</v>
      </c>
      <c r="F52" s="11">
        <f>C52*F61</f>
        <v>14.3</v>
      </c>
      <c r="G52" s="50">
        <f>C52*G61</f>
        <v>2.9899999999999998</v>
      </c>
      <c r="H52" s="50">
        <f>C52*100/C61</f>
        <v>5.2</v>
      </c>
      <c r="I52" s="582">
        <f t="shared" si="4"/>
        <v>1898</v>
      </c>
    </row>
    <row r="53" spans="2:9" s="16" customFormat="1">
      <c r="B53" s="494" t="s">
        <v>188</v>
      </c>
      <c r="C53" s="34">
        <f>SUM(C49:C52)</f>
        <v>13.000000000000002</v>
      </c>
      <c r="D53" s="498">
        <f>SUM(D49:D52)</f>
        <v>110.76</v>
      </c>
      <c r="E53" s="581">
        <f>SUM(E49:E52)</f>
        <v>1540.5</v>
      </c>
      <c r="F53" s="34">
        <f t="shared" ref="F53:I53" si="5">SUM(F49:F52)</f>
        <v>65</v>
      </c>
      <c r="G53" s="498">
        <f t="shared" si="5"/>
        <v>63.440000000000005</v>
      </c>
      <c r="H53" s="498">
        <f t="shared" si="5"/>
        <v>66.550877192982455</v>
      </c>
      <c r="I53" s="585">
        <f t="shared" si="5"/>
        <v>24291.070175438595</v>
      </c>
    </row>
    <row r="54" spans="2:9">
      <c r="B54" s="316"/>
      <c r="C54" s="11"/>
      <c r="D54" s="11"/>
      <c r="E54" s="11"/>
      <c r="F54" s="11"/>
      <c r="G54" s="11"/>
      <c r="H54" s="11"/>
      <c r="I54" s="317"/>
    </row>
    <row r="55" spans="2:9" ht="15.75" thickBot="1">
      <c r="B55" s="318" t="s">
        <v>189</v>
      </c>
      <c r="C55" s="499">
        <v>13</v>
      </c>
      <c r="D55" s="499">
        <v>110</v>
      </c>
      <c r="E55" s="584">
        <v>1234</v>
      </c>
      <c r="F55" s="499">
        <v>45</v>
      </c>
      <c r="G55" s="499">
        <v>41</v>
      </c>
      <c r="H55" s="235"/>
      <c r="I55" s="320"/>
    </row>
    <row r="56" spans="2:9" ht="15.75" thickBot="1"/>
    <row r="57" spans="2:9">
      <c r="B57" s="219" t="s">
        <v>190</v>
      </c>
      <c r="C57" s="457" t="s">
        <v>191</v>
      </c>
      <c r="D57" s="457" t="s">
        <v>180</v>
      </c>
      <c r="E57" s="457" t="s">
        <v>181</v>
      </c>
      <c r="F57" s="457" t="s">
        <v>182</v>
      </c>
      <c r="G57" s="458" t="s">
        <v>183</v>
      </c>
    </row>
    <row r="58" spans="2:9">
      <c r="B58" s="316" t="s">
        <v>184</v>
      </c>
      <c r="C58" s="11">
        <v>20</v>
      </c>
      <c r="D58" s="11">
        <v>7.9</v>
      </c>
      <c r="E58" s="11">
        <v>98</v>
      </c>
      <c r="F58" s="11">
        <v>3.6</v>
      </c>
      <c r="G58" s="317">
        <v>2.9</v>
      </c>
    </row>
    <row r="59" spans="2:9">
      <c r="B59" s="316" t="s">
        <v>185</v>
      </c>
      <c r="C59" s="11">
        <v>19</v>
      </c>
      <c r="D59" s="11">
        <v>9</v>
      </c>
      <c r="E59" s="11">
        <v>205</v>
      </c>
      <c r="F59" s="11">
        <v>2.5</v>
      </c>
      <c r="G59" s="317">
        <v>13</v>
      </c>
    </row>
    <row r="60" spans="2:9">
      <c r="B60" s="316" t="s">
        <v>186</v>
      </c>
      <c r="C60" s="11">
        <v>15</v>
      </c>
      <c r="D60" s="11">
        <v>8.8000000000000007</v>
      </c>
      <c r="E60" s="11">
        <v>132</v>
      </c>
      <c r="F60" s="11">
        <v>12.4</v>
      </c>
      <c r="G60" s="317">
        <v>3.1</v>
      </c>
    </row>
    <row r="61" spans="2:9" ht="15.75" thickBot="1">
      <c r="B61" s="497" t="s">
        <v>187</v>
      </c>
      <c r="C61" s="319">
        <v>25</v>
      </c>
      <c r="D61" s="319">
        <v>11</v>
      </c>
      <c r="E61" s="319">
        <v>55</v>
      </c>
      <c r="F61" s="319">
        <v>11</v>
      </c>
      <c r="G61" s="320">
        <v>2.2999999999999998</v>
      </c>
    </row>
  </sheetData>
  <mergeCells count="5">
    <mergeCell ref="B29:I29"/>
    <mergeCell ref="B46:I46"/>
    <mergeCell ref="B2:I2"/>
    <mergeCell ref="B4:I4"/>
    <mergeCell ref="B12:I1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1. Contents</vt:lpstr>
      <vt:lpstr>2. Crop yield conv. vs organic </vt:lpstr>
      <vt:lpstr>3. Crop seed demand</vt:lpstr>
      <vt:lpstr>4. Economy alley crops</vt:lpstr>
      <vt:lpstr>5. Planting scheme</vt:lpstr>
      <vt:lpstr>6. Forage balance</vt:lpstr>
      <vt:lpstr>7. Animal spacing &amp; feeding</vt:lpstr>
      <vt:lpstr>8. Animal food &amp; water needs</vt:lpstr>
      <vt:lpstr>9. Dairy feed ration calculator</vt:lpstr>
      <vt:lpstr>10. Dung supply &amp; crop demand</vt:lpstr>
      <vt:lpstr>11. Dung nutrient contents</vt:lpstr>
      <vt:lpstr>12. Nutrient balances</vt:lpstr>
      <vt:lpstr>13. Food &amp; energy consumption</vt:lpstr>
    </vt:vector>
  </TitlesOfParts>
  <Company>BOKU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Fahringer</dc:creator>
  <cp:lastModifiedBy>sbrandes</cp:lastModifiedBy>
  <dcterms:created xsi:type="dcterms:W3CDTF">2020-05-31T09:25:52Z</dcterms:created>
  <dcterms:modified xsi:type="dcterms:W3CDTF">2020-12-16T16:04:47Z</dcterms:modified>
</cp:coreProperties>
</file>